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harts/chart1.xml" ContentType="application/vnd.openxmlformats-officedocument.drawingml.chart+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S:\Modo IV\FERNANDO\Expedientes Electronicos\EX-2018-61352914- -APN-SG#SOFSE LABORATORIO DE CONTROL DE CALIDAD Y AMPLIACION DE DEPENDENCIAS\Publicación\Plegos\"/>
    </mc:Choice>
  </mc:AlternateContent>
  <bookViews>
    <workbookView xWindow="0" yWindow="0" windowWidth="20400" windowHeight="7365" activeTab="4"/>
  </bookViews>
  <sheets>
    <sheet name="PLACOT_VI" sheetId="2" r:id="rId1"/>
    <sheet name="GRAFICOS" sheetId="6" r:id="rId2"/>
    <sheet name="GI" sheetId="3" r:id="rId3"/>
    <sheet name="PLACOT" sheetId="8" r:id="rId4"/>
    <sheet name="Redeterminación de precios" sheetId="11" r:id="rId5"/>
  </sheets>
  <definedNames>
    <definedName name="_xlnm.Print_Titles" localSheetId="3">PLACOT!$1:$6</definedName>
    <definedName name="_xlnm.Print_Titles" localSheetId="0">PLACOT_VI!$1:$6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21" i="2" l="1"/>
  <c r="F121" i="2"/>
  <c r="F108" i="2"/>
  <c r="G42" i="3" l="1"/>
  <c r="J42" i="3" s="1"/>
  <c r="J129" i="3"/>
  <c r="J128" i="3"/>
  <c r="J127" i="3"/>
  <c r="J126" i="3"/>
  <c r="J125" i="3"/>
  <c r="J123" i="3" s="1"/>
  <c r="J121" i="3"/>
  <c r="J120" i="3"/>
  <c r="G119" i="3"/>
  <c r="J119" i="3" s="1"/>
  <c r="J118" i="3"/>
  <c r="J117" i="3"/>
  <c r="J116" i="3"/>
  <c r="J115" i="3"/>
  <c r="J114" i="3"/>
  <c r="J113" i="3"/>
  <c r="J112" i="3"/>
  <c r="J109" i="3"/>
  <c r="J108" i="3"/>
  <c r="J107" i="3"/>
  <c r="J106" i="3"/>
  <c r="J105" i="3"/>
  <c r="J104" i="3"/>
  <c r="J103" i="3"/>
  <c r="J101" i="3" s="1"/>
  <c r="J102" i="3"/>
  <c r="J99" i="3"/>
  <c r="J98" i="3"/>
  <c r="J97" i="3"/>
  <c r="J93" i="3" s="1"/>
  <c r="J96" i="3"/>
  <c r="J95" i="3"/>
  <c r="J94" i="3"/>
  <c r="J91" i="3"/>
  <c r="J90" i="3"/>
  <c r="J89" i="3"/>
  <c r="J88" i="3"/>
  <c r="J87" i="3"/>
  <c r="J86" i="3"/>
  <c r="J85" i="3"/>
  <c r="J84" i="3"/>
  <c r="J83" i="3"/>
  <c r="J82" i="3"/>
  <c r="J81" i="3"/>
  <c r="J80" i="3"/>
  <c r="J79" i="3"/>
  <c r="J78" i="3"/>
  <c r="J77" i="3"/>
  <c r="J76" i="3" s="1"/>
  <c r="J74" i="3"/>
  <c r="J73" i="3"/>
  <c r="J72" i="3"/>
  <c r="J71" i="3"/>
  <c r="J70" i="3"/>
  <c r="J69" i="3"/>
  <c r="B67" i="3" s="1"/>
  <c r="J68" i="3"/>
  <c r="J67" i="3" s="1"/>
  <c r="J65" i="3"/>
  <c r="J64" i="3"/>
  <c r="J63" i="3"/>
  <c r="J62" i="3"/>
  <c r="J61" i="3"/>
  <c r="J60" i="3"/>
  <c r="J59" i="3"/>
  <c r="J58" i="3"/>
  <c r="J57" i="3"/>
  <c r="J56" i="3"/>
  <c r="J55" i="3"/>
  <c r="J54" i="3"/>
  <c r="J53" i="3"/>
  <c r="J52" i="3"/>
  <c r="J51" i="3"/>
  <c r="J50" i="3"/>
  <c r="J49" i="3"/>
  <c r="J48" i="3"/>
  <c r="J47" i="3"/>
  <c r="J46" i="3"/>
  <c r="J45" i="3"/>
  <c r="J44" i="3"/>
  <c r="J43" i="3"/>
  <c r="J41" i="3"/>
  <c r="J40" i="3"/>
  <c r="J39" i="3"/>
  <c r="J38" i="3"/>
  <c r="J35" i="3"/>
  <c r="J34" i="3"/>
  <c r="J33" i="3"/>
  <c r="J32" i="3"/>
  <c r="J31" i="3"/>
  <c r="J30" i="3"/>
  <c r="J29" i="3"/>
  <c r="J28" i="3"/>
  <c r="J27" i="3"/>
  <c r="J26" i="3"/>
  <c r="J25" i="3"/>
  <c r="J22" i="3"/>
  <c r="J21" i="3"/>
  <c r="J20" i="3"/>
  <c r="J19" i="3"/>
  <c r="J18" i="3"/>
  <c r="J17" i="3"/>
  <c r="J16" i="3"/>
  <c r="J15" i="3"/>
  <c r="J14" i="3"/>
  <c r="J13" i="3"/>
  <c r="J12" i="3" s="1"/>
  <c r="J8" i="3"/>
  <c r="J7" i="3"/>
  <c r="J6" i="3"/>
  <c r="B93" i="3" l="1"/>
  <c r="J24" i="3"/>
  <c r="J131" i="3" s="1"/>
  <c r="J37" i="3"/>
  <c r="B37" i="3"/>
  <c r="J111" i="3"/>
  <c r="B111" i="3"/>
  <c r="B101" i="3"/>
  <c r="B12" i="3"/>
  <c r="B24" i="3"/>
  <c r="B76" i="3"/>
  <c r="B123" i="3"/>
  <c r="B10" i="3" l="1"/>
  <c r="F10" i="2"/>
  <c r="A111" i="3" l="1"/>
  <c r="A67" i="3"/>
  <c r="A101" i="3"/>
  <c r="A37" i="3"/>
  <c r="A93" i="3"/>
  <c r="A24" i="3"/>
  <c r="A123" i="3"/>
  <c r="A12" i="3"/>
  <c r="A76" i="3"/>
  <c r="F62" i="2"/>
  <c r="H62" i="2" s="1"/>
  <c r="H63" i="2"/>
  <c r="H120" i="8" l="1"/>
  <c r="G119" i="8"/>
  <c r="G118" i="8"/>
  <c r="H110" i="8"/>
  <c r="E88" i="8"/>
  <c r="G79" i="8"/>
  <c r="G78" i="8"/>
  <c r="G77" i="8"/>
  <c r="E76" i="8"/>
  <c r="G76" i="8" s="1"/>
  <c r="H50" i="8"/>
  <c r="E43" i="8"/>
  <c r="E34" i="8"/>
  <c r="H33" i="8" s="1"/>
  <c r="H11" i="8"/>
  <c r="H117" i="8" l="1"/>
  <c r="H112" i="8"/>
  <c r="H107" i="8"/>
  <c r="H89" i="8"/>
  <c r="H80" i="8"/>
  <c r="H75" i="8"/>
  <c r="H47" i="8"/>
  <c r="H44" i="8"/>
  <c r="H39" i="8"/>
  <c r="H35" i="8"/>
  <c r="H27" i="8"/>
  <c r="H23" i="8"/>
  <c r="H13" i="8"/>
  <c r="H7" i="8"/>
  <c r="H52" i="8"/>
  <c r="H64" i="8"/>
  <c r="H30" i="8"/>
  <c r="F60" i="2" l="1"/>
  <c r="F59" i="2"/>
  <c r="F61" i="2" s="1"/>
  <c r="H61" i="2" s="1"/>
  <c r="F31" i="2"/>
  <c r="H106" i="2" l="1"/>
  <c r="H104" i="2"/>
  <c r="H105" i="2"/>
  <c r="F103" i="2"/>
  <c r="H103" i="2" s="1"/>
  <c r="H99" i="2"/>
  <c r="F98" i="2"/>
  <c r="H98" i="2" s="1"/>
  <c r="F97" i="2"/>
  <c r="F109" i="2" l="1"/>
  <c r="F58" i="2" l="1"/>
  <c r="F57" i="2"/>
  <c r="F56" i="2"/>
  <c r="F55" i="2"/>
  <c r="F54" i="2"/>
  <c r="F53" i="2"/>
  <c r="H21" i="2"/>
  <c r="H24" i="2" l="1"/>
  <c r="H20" i="2"/>
  <c r="H26" i="2" l="1"/>
  <c r="F90" i="2" l="1"/>
  <c r="L139" i="2" l="1"/>
  <c r="F29" i="2"/>
  <c r="F45" i="2"/>
  <c r="F48" i="2"/>
  <c r="F74" i="2"/>
  <c r="F73" i="2"/>
  <c r="F72" i="2"/>
  <c r="F71" i="2"/>
  <c r="F70" i="2"/>
  <c r="F69" i="2"/>
  <c r="F68" i="2"/>
  <c r="F84" i="2"/>
  <c r="F119" i="2" l="1"/>
  <c r="F118" i="2"/>
  <c r="I127" i="2" l="1"/>
  <c r="H83" i="2"/>
  <c r="H84" i="2"/>
  <c r="H82" i="2"/>
  <c r="F86" i="2" l="1"/>
  <c r="H79" i="2"/>
  <c r="H102" i="2" l="1"/>
  <c r="I120" i="2"/>
  <c r="H92" i="2" l="1"/>
  <c r="H91" i="2"/>
  <c r="H109" i="2"/>
  <c r="H113" i="2"/>
  <c r="H115" i="2"/>
  <c r="H116" i="2"/>
  <c r="H114" i="2"/>
  <c r="I112" i="2" l="1"/>
  <c r="H72" i="2" l="1"/>
  <c r="H90" i="2" l="1"/>
  <c r="F94" i="2" l="1"/>
  <c r="E88" i="2"/>
  <c r="F87" i="2"/>
  <c r="E76" i="2" l="1"/>
  <c r="H38" i="2"/>
  <c r="H36" i="2"/>
  <c r="H37" i="2"/>
  <c r="I35" i="2" l="1"/>
  <c r="H77" i="2"/>
  <c r="H78" i="2"/>
  <c r="H66" i="2"/>
  <c r="H68" i="2"/>
  <c r="H69" i="2"/>
  <c r="H70" i="2"/>
  <c r="H71" i="2"/>
  <c r="H73" i="2"/>
  <c r="H74" i="2"/>
  <c r="H60" i="2"/>
  <c r="H46" i="2"/>
  <c r="H41" i="2"/>
  <c r="E43" i="2"/>
  <c r="H43" i="2" s="1"/>
  <c r="E34" i="2"/>
  <c r="I39" i="2" l="1"/>
  <c r="H45" i="2"/>
  <c r="I44" i="2" s="1"/>
  <c r="H29" i="2" l="1"/>
  <c r="H28" i="2"/>
  <c r="H25" i="2"/>
  <c r="I23" i="2" s="1"/>
  <c r="I27" i="2" l="1"/>
  <c r="H65" i="2" l="1"/>
  <c r="I64" i="2" s="1"/>
  <c r="H57" i="2"/>
  <c r="H8" i="2" l="1"/>
  <c r="H31" i="2" l="1"/>
  <c r="F32" i="2" s="1"/>
  <c r="H32" i="2" l="1"/>
  <c r="I30" i="2" s="1"/>
  <c r="F15" i="2"/>
  <c r="H12" i="2"/>
  <c r="I11" i="2" l="1"/>
  <c r="H54" i="2"/>
  <c r="H53" i="2"/>
  <c r="H51" i="2"/>
  <c r="I50" i="2" s="1"/>
  <c r="H49" i="2"/>
  <c r="H48" i="2"/>
  <c r="H34" i="2"/>
  <c r="I33" i="2" s="1"/>
  <c r="H18" i="2"/>
  <c r="H10" i="2"/>
  <c r="I47" i="2" l="1"/>
  <c r="H108" i="2" l="1"/>
  <c r="H59" i="2"/>
  <c r="H56" i="2"/>
  <c r="H58" i="2"/>
  <c r="H55" i="2"/>
  <c r="H111" i="2"/>
  <c r="I52" i="2" l="1"/>
  <c r="I110" i="2"/>
  <c r="H88" i="2"/>
  <c r="H86" i="2" l="1"/>
  <c r="H19" i="2"/>
  <c r="H17" i="2"/>
  <c r="H16" i="2"/>
  <c r="H15" i="2"/>
  <c r="I13" i="2" l="1"/>
  <c r="H101" i="2"/>
  <c r="H100" i="2"/>
  <c r="H97" i="2"/>
  <c r="H96" i="2"/>
  <c r="H95" i="2"/>
  <c r="H94" i="2"/>
  <c r="I89" i="2" l="1"/>
  <c r="H87" i="2"/>
  <c r="H119" i="2" l="1"/>
  <c r="H118" i="2"/>
  <c r="I117" i="2" l="1"/>
  <c r="I107" i="2"/>
  <c r="H76" i="2" l="1"/>
  <c r="I75" i="2" l="1"/>
  <c r="I80" i="2" l="1"/>
  <c r="H9" i="2"/>
  <c r="I7" i="2" s="1"/>
  <c r="I125" i="2" l="1"/>
  <c r="H127" i="2" l="1"/>
  <c r="K23" i="2"/>
  <c r="C13" i="6" s="1"/>
  <c r="K13" i="2"/>
  <c r="C11" i="6" s="1"/>
  <c r="K35" i="2"/>
  <c r="C21" i="6" s="1"/>
  <c r="K89" i="2"/>
  <c r="C39" i="6" s="1"/>
  <c r="K80" i="2"/>
  <c r="C37" i="6" s="1"/>
  <c r="K11" i="2"/>
  <c r="C9" i="6" s="1"/>
  <c r="K75" i="2"/>
  <c r="C35" i="6" s="1"/>
  <c r="I129" i="2"/>
  <c r="I131" i="2" s="1"/>
  <c r="I133" i="2" s="1"/>
  <c r="K64" i="2"/>
  <c r="C33" i="6" s="1"/>
  <c r="K52" i="2"/>
  <c r="C31" i="6" s="1"/>
  <c r="K110" i="2"/>
  <c r="C43" i="6" s="1"/>
  <c r="K107" i="2"/>
  <c r="C41" i="6" s="1"/>
  <c r="K30" i="2"/>
  <c r="C17" i="6" s="1"/>
  <c r="K33" i="2"/>
  <c r="C19" i="6" s="1"/>
  <c r="K27" i="2"/>
  <c r="C15" i="6" s="1"/>
  <c r="K47" i="2"/>
  <c r="C27" i="6" s="1"/>
  <c r="K50" i="2"/>
  <c r="C29" i="6" s="1"/>
  <c r="K120" i="2"/>
  <c r="C49" i="6" s="1"/>
  <c r="K44" i="2"/>
  <c r="C25" i="6" s="1"/>
  <c r="K39" i="2"/>
  <c r="C23" i="6" s="1"/>
  <c r="K112" i="2"/>
  <c r="C45" i="6" s="1"/>
  <c r="K117" i="2"/>
  <c r="C47" i="6" s="1"/>
  <c r="K7" i="2"/>
  <c r="C7" i="6" s="1"/>
  <c r="K123" i="2" l="1"/>
  <c r="C51" i="6"/>
  <c r="I135" i="2"/>
  <c r="I137" i="2" s="1"/>
  <c r="K139" i="2" l="1"/>
  <c r="M139" i="2" s="1"/>
  <c r="K137" i="2"/>
  <c r="M137" i="2" s="1"/>
  <c r="I139" i="2"/>
</calcChain>
</file>

<file path=xl/comments1.xml><?xml version="1.0" encoding="utf-8"?>
<comments xmlns="http://schemas.openxmlformats.org/spreadsheetml/2006/main">
  <authors>
    <author>Salvatierra, Leandro</author>
  </authors>
  <commentList>
    <comment ref="F108" authorId="0" shapeId="0">
      <text>
        <r>
          <rPr>
            <b/>
            <sz val="9"/>
            <color indexed="81"/>
            <rFont val="Tahoma"/>
            <family val="2"/>
          </rPr>
          <t>Salvatierra, Leandro:</t>
        </r>
        <r>
          <rPr>
            <sz val="9"/>
            <color indexed="81"/>
            <rFont val="Tahoma"/>
            <family val="2"/>
          </rPr>
          <t xml:space="preserve">
MULTIPLICO POR 1,3 POR MO
</t>
        </r>
      </text>
    </comment>
    <comment ref="F121" authorId="0" shapeId="0">
      <text>
        <r>
          <rPr>
            <b/>
            <sz val="9"/>
            <color indexed="81"/>
            <rFont val="Tahoma"/>
            <family val="2"/>
          </rPr>
          <t>Salvatierra, Leandro:</t>
        </r>
        <r>
          <rPr>
            <sz val="9"/>
            <color indexed="81"/>
            <rFont val="Tahoma"/>
            <family val="2"/>
          </rPr>
          <t xml:space="preserve">
MULTIPLIQUE POR 1,3 POR MO
</t>
        </r>
      </text>
    </comment>
  </commentList>
</comments>
</file>

<file path=xl/comments2.xml><?xml version="1.0" encoding="utf-8"?>
<comments xmlns="http://schemas.openxmlformats.org/spreadsheetml/2006/main">
  <authors>
    <author>Salvatierra, Leandro</author>
  </authors>
  <commentList>
    <comment ref="C51" authorId="0" shapeId="0">
      <text>
        <r>
          <rPr>
            <b/>
            <sz val="9"/>
            <color indexed="81"/>
            <rFont val="Tahoma"/>
            <family val="2"/>
          </rPr>
          <t>Salvatierra, Leandro:</t>
        </r>
        <r>
          <rPr>
            <sz val="9"/>
            <color indexed="81"/>
            <rFont val="Tahoma"/>
            <family val="2"/>
          </rPr>
          <t xml:space="preserve">
REVISAR SUMA
</t>
        </r>
      </text>
    </comment>
  </commentList>
</comments>
</file>

<file path=xl/comments3.xml><?xml version="1.0" encoding="utf-8"?>
<comments xmlns="http://schemas.openxmlformats.org/spreadsheetml/2006/main">
  <authors>
    <author>Salvatierra, Leandro</author>
  </authors>
  <commentList>
    <comment ref="H6" authorId="0" shapeId="0">
      <text>
        <r>
          <rPr>
            <b/>
            <sz val="9"/>
            <color indexed="81"/>
            <rFont val="Tahoma"/>
            <family val="2"/>
          </rPr>
          <t>Salvatierra, Leandro:</t>
        </r>
        <r>
          <rPr>
            <sz val="9"/>
            <color indexed="81"/>
            <rFont val="Tahoma"/>
            <family val="2"/>
          </rPr>
          <t xml:space="preserve">
TOMA EL 100 + 18 + 18,6 + 3,7 + 11,59 + 17,06 + 42,26+ 10,01
</t>
        </r>
      </text>
    </comment>
  </commentList>
</comments>
</file>

<file path=xl/comments4.xml><?xml version="1.0" encoding="utf-8"?>
<comments xmlns="http://schemas.openxmlformats.org/spreadsheetml/2006/main">
  <authors>
    <author>Salvatierra, Leandro</author>
  </authors>
  <commentList>
    <comment ref="F108" authorId="0" shapeId="0">
      <text>
        <r>
          <rPr>
            <b/>
            <sz val="9"/>
            <color indexed="81"/>
            <rFont val="Tahoma"/>
            <family val="2"/>
          </rPr>
          <t>Salvatierra, Leandro:</t>
        </r>
        <r>
          <rPr>
            <sz val="9"/>
            <color indexed="81"/>
            <rFont val="Tahoma"/>
            <family val="2"/>
          </rPr>
          <t xml:space="preserve">
MULTIPLICO POR 1,3 POR MO
</t>
        </r>
      </text>
    </comment>
    <comment ref="F121" authorId="0" shapeId="0">
      <text>
        <r>
          <rPr>
            <b/>
            <sz val="9"/>
            <color indexed="81"/>
            <rFont val="Tahoma"/>
            <family val="2"/>
          </rPr>
          <t>Salvatierra, Leandro:</t>
        </r>
        <r>
          <rPr>
            <sz val="9"/>
            <color indexed="81"/>
            <rFont val="Tahoma"/>
            <family val="2"/>
          </rPr>
          <t xml:space="preserve">
MULTIPLIQUE POR 1,3 POR MO
</t>
        </r>
      </text>
    </comment>
  </commentList>
</comments>
</file>

<file path=xl/sharedStrings.xml><?xml version="1.0" encoding="utf-8"?>
<sst xmlns="http://schemas.openxmlformats.org/spreadsheetml/2006/main" count="1215" uniqueCount="696">
  <si>
    <t>Cantidad</t>
  </si>
  <si>
    <t>Precio Unitario</t>
  </si>
  <si>
    <t>Precio Total</t>
  </si>
  <si>
    <t>RUBRO</t>
  </si>
  <si>
    <t>Gl.</t>
  </si>
  <si>
    <t>Actualización</t>
  </si>
  <si>
    <t>Subtotal Ítem</t>
  </si>
  <si>
    <t>VALORE DE REFERENCIA</t>
  </si>
  <si>
    <t>ITEM</t>
  </si>
  <si>
    <t>Proyecto ejecutivo y Memoria Tecnica (Incluye replanteo)</t>
  </si>
  <si>
    <t>ESTIMADO 3% DEL VALOR DEL CONTRATO</t>
  </si>
  <si>
    <t>m2</t>
  </si>
  <si>
    <t>ml</t>
  </si>
  <si>
    <t>CARPINTERÍA</t>
  </si>
  <si>
    <t>un</t>
  </si>
  <si>
    <t>gl</t>
  </si>
  <si>
    <t xml:space="preserve">INSTALACIÓN ELÉCTRICA </t>
  </si>
  <si>
    <t>LIMPIEZA GENERAL DE OBRA</t>
  </si>
  <si>
    <t>Limpieza periodica de obra</t>
  </si>
  <si>
    <t>Limpieza final de obra</t>
  </si>
  <si>
    <t>A</t>
  </si>
  <si>
    <t>Total Costo Directo</t>
  </si>
  <si>
    <t>B</t>
  </si>
  <si>
    <t>Gastos Generales</t>
  </si>
  <si>
    <t>C</t>
  </si>
  <si>
    <t>Subtotal CD + GG +PD</t>
  </si>
  <si>
    <t>D</t>
  </si>
  <si>
    <t>Beneficio + Riesgos</t>
  </si>
  <si>
    <t>F</t>
  </si>
  <si>
    <t>Subtotal (CD+GG)+ B + CF</t>
  </si>
  <si>
    <t>G</t>
  </si>
  <si>
    <t>IIBB e Imp. Al Cheque</t>
  </si>
  <si>
    <t>TOTAL</t>
  </si>
  <si>
    <t xml:space="preserve">PINTURA </t>
  </si>
  <si>
    <t>Esmalte sintetico en aberturas, barandas y portones</t>
  </si>
  <si>
    <t>CUBIERTAS</t>
  </si>
  <si>
    <t>Indicador de salida con lampara led</t>
  </si>
  <si>
    <t xml:space="preserve">INSTALACIÓN SANITARIA </t>
  </si>
  <si>
    <t>Nueva instlacion SANITARIA (Incluye Proyecto Ejecutivo)(Incluye pases en losas)  (Incluye Ayuda de Gremios)</t>
  </si>
  <si>
    <t>Porcelana Sanitaria y Accesorios B° Damas y Caballeros (Incluye Prov. y Colocación)</t>
  </si>
  <si>
    <t>Griferia Lavatorio Kansas Plus</t>
  </si>
  <si>
    <t>Percha ceramica para empotrar</t>
  </si>
  <si>
    <t>SISTEMA DE DETECCION DE INCENDIO</t>
  </si>
  <si>
    <t>Extintores/Matafuegos de Polvo clase  ABC tipo Georgia</t>
  </si>
  <si>
    <t>VARIOS</t>
  </si>
  <si>
    <t>m3</t>
  </si>
  <si>
    <t>U/Medida</t>
  </si>
  <si>
    <t xml:space="preserve">DESCRIPCION </t>
  </si>
  <si>
    <t>Revista Vivienda</t>
  </si>
  <si>
    <t>,</t>
  </si>
  <si>
    <t>REV VIV 568 pisos</t>
  </si>
  <si>
    <t>Revista ViVienda</t>
  </si>
  <si>
    <t>66 CARP /1240</t>
  </si>
  <si>
    <t>558 MOV SUELOS</t>
  </si>
  <si>
    <t>Rtevista Vivienda</t>
  </si>
  <si>
    <t>EQUIPAMIENTO/ MESADAS</t>
  </si>
  <si>
    <t>Zocalos y frentines en Ganito Gris Mara</t>
  </si>
  <si>
    <t>Referencias MO</t>
  </si>
  <si>
    <t>Basico</t>
  </si>
  <si>
    <t>Aportes</t>
  </si>
  <si>
    <t>TOTAL H</t>
  </si>
  <si>
    <t>Oficial especializado</t>
  </si>
  <si>
    <t>1/2 OFICIAL</t>
  </si>
  <si>
    <t>Ayudante</t>
  </si>
  <si>
    <t xml:space="preserve">Costo indirecto </t>
  </si>
  <si>
    <t>Precio</t>
  </si>
  <si>
    <t>Meses</t>
  </si>
  <si>
    <t>Monto Basico</t>
  </si>
  <si>
    <t>Supervision de Obra</t>
  </si>
  <si>
    <t>1.1</t>
  </si>
  <si>
    <t>Jefe de Obra</t>
  </si>
  <si>
    <t>1.2</t>
  </si>
  <si>
    <t>Jefe de Obra C.Soc.</t>
  </si>
  <si>
    <t>1.3</t>
  </si>
  <si>
    <t>Estacionam</t>
  </si>
  <si>
    <t>1.5</t>
  </si>
  <si>
    <t>Oficina tecnica</t>
  </si>
  <si>
    <t>1.6</t>
  </si>
  <si>
    <t>Viajes J.de O.+viatico</t>
  </si>
  <si>
    <t>1.7</t>
  </si>
  <si>
    <t>Capataz</t>
  </si>
  <si>
    <t>1.8</t>
  </si>
  <si>
    <t>Capataz de Obra C.Soc.</t>
  </si>
  <si>
    <t>1.9</t>
  </si>
  <si>
    <t>Oficina Central</t>
  </si>
  <si>
    <t>1.10</t>
  </si>
  <si>
    <t>Viajes a obra Gte.</t>
  </si>
  <si>
    <t>1.11</t>
  </si>
  <si>
    <t>Contador</t>
  </si>
  <si>
    <t>Mano de Obra Indirecta y Directa</t>
  </si>
  <si>
    <t>2.1</t>
  </si>
  <si>
    <t>Mano obra oficiales</t>
  </si>
  <si>
    <t>2.2</t>
  </si>
  <si>
    <t>Mano obra ayudantes</t>
  </si>
  <si>
    <t>2.3</t>
  </si>
  <si>
    <t xml:space="preserve">Limpieza de Obra    </t>
  </si>
  <si>
    <t>2.4</t>
  </si>
  <si>
    <t xml:space="preserve">Limpieza de Obra Final </t>
  </si>
  <si>
    <t>2.5</t>
  </si>
  <si>
    <t>Insumos de limpieza Final</t>
  </si>
  <si>
    <t>2.6</t>
  </si>
  <si>
    <t>Gruista</t>
  </si>
  <si>
    <t>2.7</t>
  </si>
  <si>
    <t>Pañolero</t>
  </si>
  <si>
    <t>2.8</t>
  </si>
  <si>
    <t>Mantenimiento equipos</t>
  </si>
  <si>
    <t>2.9</t>
  </si>
  <si>
    <t>Mantenimiento mano de obra</t>
  </si>
  <si>
    <t>2.10</t>
  </si>
  <si>
    <t>UOCRA/Policia</t>
  </si>
  <si>
    <t>2.11</t>
  </si>
  <si>
    <t>Sereno</t>
  </si>
  <si>
    <t>Instalaciones de  Obra</t>
  </si>
  <si>
    <t>3.1</t>
  </si>
  <si>
    <t>Cartel de Obra</t>
  </si>
  <si>
    <t>3.2</t>
  </si>
  <si>
    <t>Gastos funcionamiento e inspección de obra ART. 2,7,11</t>
  </si>
  <si>
    <t>3.3</t>
  </si>
  <si>
    <t>Oficina Jefe de Obra /capataz (a compartir c/inspec)</t>
  </si>
  <si>
    <t>3.4</t>
  </si>
  <si>
    <t xml:space="preserve">Almacen  </t>
  </si>
  <si>
    <t>3.5</t>
  </si>
  <si>
    <t>Aseos (Baño individual quimico s/ ducha)</t>
  </si>
  <si>
    <t>3.6</t>
  </si>
  <si>
    <t>Vestuario</t>
  </si>
  <si>
    <t>3.7</t>
  </si>
  <si>
    <t>Traslados containers + gruas</t>
  </si>
  <si>
    <t>3.8</t>
  </si>
  <si>
    <t>Alquiler vivienda+ gastos</t>
  </si>
  <si>
    <t>3.9</t>
  </si>
  <si>
    <t>Equipam Inspeccion/ ODOMETROS/ DISTANCIONAMETROS/ LUXIMETROS</t>
  </si>
  <si>
    <t>3.10</t>
  </si>
  <si>
    <t>Movilidad Inspeccion</t>
  </si>
  <si>
    <t>Oficina 2,5 x 3 incl Aire</t>
  </si>
  <si>
    <t>3.11</t>
  </si>
  <si>
    <t>Equipo Aire</t>
  </si>
  <si>
    <t>3.12</t>
  </si>
  <si>
    <t>Mobiliario</t>
  </si>
  <si>
    <t>3.13</t>
  </si>
  <si>
    <t>Computadoras TIPO NOTEBOOK</t>
  </si>
  <si>
    <t>3.14</t>
  </si>
  <si>
    <t>Monitor 19"</t>
  </si>
  <si>
    <t>3.15</t>
  </si>
  <si>
    <t>CPU Intel Core7</t>
  </si>
  <si>
    <t>3.16</t>
  </si>
  <si>
    <t>Detector de Conductos</t>
  </si>
  <si>
    <t>3.17</t>
  </si>
  <si>
    <t>Luxometro Digital</t>
  </si>
  <si>
    <t>3.18</t>
  </si>
  <si>
    <t>Nivel Laser Digital</t>
  </si>
  <si>
    <t>3.19</t>
  </si>
  <si>
    <t>Distanciometro</t>
  </si>
  <si>
    <t>3.20</t>
  </si>
  <si>
    <t>3.21</t>
  </si>
  <si>
    <t>Equipam Of.Jefe de Obra</t>
  </si>
  <si>
    <t>3.22</t>
  </si>
  <si>
    <t>3.23</t>
  </si>
  <si>
    <t>3.24</t>
  </si>
  <si>
    <t>Telefono /Impresora / etc..</t>
  </si>
  <si>
    <t>3.25</t>
  </si>
  <si>
    <t>Instalacion Electrica</t>
  </si>
  <si>
    <t>3.26</t>
  </si>
  <si>
    <t>Instalacion Sanitaria</t>
  </si>
  <si>
    <t>Funcionamiento de Obra</t>
  </si>
  <si>
    <t>4.1</t>
  </si>
  <si>
    <t>Derechos de Obra (excento) -Planos municipales</t>
  </si>
  <si>
    <t>4.2</t>
  </si>
  <si>
    <t>Proyecto HA</t>
  </si>
  <si>
    <t>4.3</t>
  </si>
  <si>
    <t>Proyecto Arq.</t>
  </si>
  <si>
    <t>4.4</t>
  </si>
  <si>
    <t>Proy inst. ( elec+sanit+gases+aire)</t>
  </si>
  <si>
    <t>4.5</t>
  </si>
  <si>
    <t>Tramite Impacto Ambintal</t>
  </si>
  <si>
    <t>4.6</t>
  </si>
  <si>
    <t>Consumo ENERGÍA</t>
  </si>
  <si>
    <t>4.7</t>
  </si>
  <si>
    <t>Consumo Telefono</t>
  </si>
  <si>
    <t xml:space="preserve">Equipos de  Obra </t>
  </si>
  <si>
    <t>5.1</t>
  </si>
  <si>
    <t>Gastos camioneta</t>
  </si>
  <si>
    <t>5.2</t>
  </si>
  <si>
    <t>Camioneta</t>
  </si>
  <si>
    <t>5.3</t>
  </si>
  <si>
    <t>Balancines</t>
  </si>
  <si>
    <t>5.4</t>
  </si>
  <si>
    <t>Montacargas</t>
  </si>
  <si>
    <t>5.5</t>
  </si>
  <si>
    <t>Cerco de obra (solo vallado de madera)</t>
  </si>
  <si>
    <t>5.6</t>
  </si>
  <si>
    <t>Alquileres varios</t>
  </si>
  <si>
    <t>5.7</t>
  </si>
  <si>
    <t>Gruas bajada equipos</t>
  </si>
  <si>
    <t>5.8</t>
  </si>
  <si>
    <t>Bomba achique</t>
  </si>
  <si>
    <t>5.9</t>
  </si>
  <si>
    <t>Vibrador</t>
  </si>
  <si>
    <t>5.10</t>
  </si>
  <si>
    <t>Herramientas y utiles , cajas consumibles</t>
  </si>
  <si>
    <t>5.11</t>
  </si>
  <si>
    <t>Elementos de Seguridad ; ropa; etc</t>
  </si>
  <si>
    <t>5.12</t>
  </si>
  <si>
    <t>Elementos de seguridad via publica</t>
  </si>
  <si>
    <t>5.13</t>
  </si>
  <si>
    <t>Tubos para escombro</t>
  </si>
  <si>
    <t>5.14</t>
  </si>
  <si>
    <t>Volquetes de Escombro</t>
  </si>
  <si>
    <t>5.15</t>
  </si>
  <si>
    <t>Gastos Oficinas  de Obra</t>
  </si>
  <si>
    <t>6.1</t>
  </si>
  <si>
    <t>Computadora</t>
  </si>
  <si>
    <t>6.2</t>
  </si>
  <si>
    <t>Fotos</t>
  </si>
  <si>
    <t>6.3</t>
  </si>
  <si>
    <t>Telefono inspeccion</t>
  </si>
  <si>
    <t>6.4</t>
  </si>
  <si>
    <t>Fotocopias /Impresiones</t>
  </si>
  <si>
    <t>6.5</t>
  </si>
  <si>
    <t>6.6</t>
  </si>
  <si>
    <t>Gastos mensuales oficna obra</t>
  </si>
  <si>
    <t>Gastos Profesionales</t>
  </si>
  <si>
    <t>7.1</t>
  </si>
  <si>
    <t>Ing.seg.e Higiene</t>
  </si>
  <si>
    <t>7.2</t>
  </si>
  <si>
    <t>Ing. Seguridad excavaciones</t>
  </si>
  <si>
    <t>7.3</t>
  </si>
  <si>
    <t>Planos y copias y Conforme obra</t>
  </si>
  <si>
    <t>7.4</t>
  </si>
  <si>
    <t>Topografo</t>
  </si>
  <si>
    <t>7.5</t>
  </si>
  <si>
    <t>Asesor 1</t>
  </si>
  <si>
    <t>7.6</t>
  </si>
  <si>
    <t>Asesor 2</t>
  </si>
  <si>
    <t>7.7</t>
  </si>
  <si>
    <t>Asesor 3</t>
  </si>
  <si>
    <t>7.8</t>
  </si>
  <si>
    <t>Asesor 4</t>
  </si>
  <si>
    <t>Seguros</t>
  </si>
  <si>
    <t>8.1</t>
  </si>
  <si>
    <t>Seguro robo</t>
  </si>
  <si>
    <t>trim</t>
  </si>
  <si>
    <t>8.2</t>
  </si>
  <si>
    <t>Gtia de Fdo Rro (trim)</t>
  </si>
  <si>
    <t>8.3</t>
  </si>
  <si>
    <t>Seguro c/ incendio</t>
  </si>
  <si>
    <t>8.4</t>
  </si>
  <si>
    <t>Seguro Resp.Civil</t>
  </si>
  <si>
    <t>semestre</t>
  </si>
  <si>
    <t>8.5</t>
  </si>
  <si>
    <t>Seguro Inspeccion de obra</t>
  </si>
  <si>
    <t>8.6</t>
  </si>
  <si>
    <t>Garantia de Anticipo Financiero</t>
  </si>
  <si>
    <t>8.7</t>
  </si>
  <si>
    <t>Garantia de Contrato</t>
  </si>
  <si>
    <t>8.8</t>
  </si>
  <si>
    <t>Seguro Obrero (ART)</t>
  </si>
  <si>
    <t>8.9</t>
  </si>
  <si>
    <t xml:space="preserve">Seguro Ambiental </t>
  </si>
  <si>
    <t>Todo riesgo de obra</t>
  </si>
  <si>
    <t>Otros Gastos</t>
  </si>
  <si>
    <t>9.1</t>
  </si>
  <si>
    <t>9.2</t>
  </si>
  <si>
    <t>Imp.cheques</t>
  </si>
  <si>
    <t>9.3</t>
  </si>
  <si>
    <t>C.Soc. personal directo e indirecto</t>
  </si>
  <si>
    <t>9.4</t>
  </si>
  <si>
    <t xml:space="preserve">Seguridad </t>
  </si>
  <si>
    <t>9.5</t>
  </si>
  <si>
    <t>Descuento certificados</t>
  </si>
  <si>
    <t>9.6</t>
  </si>
  <si>
    <t>Costo financiero anticipo</t>
  </si>
  <si>
    <t>Celular</t>
  </si>
  <si>
    <t>Vigas de Fundacion (Incluye presntacion de memoria de calculo)</t>
  </si>
  <si>
    <t>Columnas (Incluye presntacion de memoria de calculo)</t>
  </si>
  <si>
    <t>Vigas (Incluye presntacion de memoria de calculo)</t>
  </si>
  <si>
    <t>Losas entrepiso (Incluye presntacion de memoria de calculo)</t>
  </si>
  <si>
    <t>21.7.1</t>
  </si>
  <si>
    <t>PIPING AIRE COMPRIMIDO</t>
  </si>
  <si>
    <t>Valvulas de Corte principal</t>
  </si>
  <si>
    <t>21.7</t>
  </si>
  <si>
    <t>Mercado Libre</t>
  </si>
  <si>
    <t>Muebles bajomesada y alacenas</t>
  </si>
  <si>
    <t>3.27</t>
  </si>
  <si>
    <t>Alquiler Camioneta</t>
  </si>
  <si>
    <t>FUENTE</t>
  </si>
  <si>
    <t>Valor Indicativo</t>
  </si>
  <si>
    <t>AÑO/FECHA</t>
  </si>
  <si>
    <t>8.10</t>
  </si>
  <si>
    <t>Coef. Aporte</t>
  </si>
  <si>
    <t>Cant</t>
  </si>
  <si>
    <t>8%/20%</t>
  </si>
  <si>
    <t>8%-12%/13%-25%</t>
  </si>
  <si>
    <t>Coeficiente de Pase "K"</t>
  </si>
  <si>
    <t>1,4 - 1,45/1,46 -1,6</t>
  </si>
  <si>
    <t>Cuadro Empresario</t>
  </si>
  <si>
    <t>Total Gastos Indirectos</t>
  </si>
  <si>
    <t xml:space="preserve">MOVIMIENTOS DE SUELOS </t>
  </si>
  <si>
    <t>Obrador, vallado y señalizacion.</t>
  </si>
  <si>
    <t>21.1.1</t>
  </si>
  <si>
    <t>21.1.2</t>
  </si>
  <si>
    <t>21.1.3</t>
  </si>
  <si>
    <t>21.2</t>
  </si>
  <si>
    <t>21.2.1</t>
  </si>
  <si>
    <t xml:space="preserve">MAMPOSTERIA </t>
  </si>
  <si>
    <t>21.4</t>
  </si>
  <si>
    <t>21.4.1</t>
  </si>
  <si>
    <t>21.4.2</t>
  </si>
  <si>
    <t xml:space="preserve">Mamposteria de 8 cm de esp de ladrillo ceramico hueco </t>
  </si>
  <si>
    <t>21.5</t>
  </si>
  <si>
    <t>21..5.1</t>
  </si>
  <si>
    <t>21.6</t>
  </si>
  <si>
    <t>21.6.1</t>
  </si>
  <si>
    <t>21.6.2</t>
  </si>
  <si>
    <t>Desagüe pluvial</t>
  </si>
  <si>
    <t>Cajón Hidrofugos en muros</t>
  </si>
  <si>
    <t>21.3</t>
  </si>
  <si>
    <t>21.3.1</t>
  </si>
  <si>
    <t>Revista vivienda</t>
  </si>
  <si>
    <t xml:space="preserve">Revista vivienda </t>
  </si>
  <si>
    <t>21.8</t>
  </si>
  <si>
    <t>21.8.1</t>
  </si>
  <si>
    <t>REVOQUES</t>
  </si>
  <si>
    <t>21.8.2</t>
  </si>
  <si>
    <t>21.9</t>
  </si>
  <si>
    <t xml:space="preserve">DESAGÚES Y DRENAJES </t>
  </si>
  <si>
    <t>21.9.1</t>
  </si>
  <si>
    <t>TABIQUES</t>
  </si>
  <si>
    <t>21.10</t>
  </si>
  <si>
    <t>21.10.1</t>
  </si>
  <si>
    <t>Tabique divisorio de vidrio</t>
  </si>
  <si>
    <t>21.11</t>
  </si>
  <si>
    <t>21.12</t>
  </si>
  <si>
    <t>SOLADOS</t>
  </si>
  <si>
    <t>ZOCALOS</t>
  </si>
  <si>
    <t xml:space="preserve">Zócalos de porcellanato de 60x10 cm </t>
  </si>
  <si>
    <t>21.13</t>
  </si>
  <si>
    <t>21.13.1</t>
  </si>
  <si>
    <t>Povision y colocacion  de porcellanato de 60x60cm</t>
  </si>
  <si>
    <t>21.12.1</t>
  </si>
  <si>
    <t xml:space="preserve">Solado cemento alisado o cilindrado 1°capa (1:3) de 2 cm, 2° capa(1:2) de 5 mm. 3° capa alisada con cemento puro, </t>
  </si>
  <si>
    <t>Látex s Interior  (enduido completo 1 mano de fijador y 2 manos de pintura)</t>
  </si>
  <si>
    <t xml:space="preserve">Impermeabililzacion Ladrilloss exteriores con impregnacion hidrorrepelente tipo Sikaguard 700 s o calidad superior </t>
  </si>
  <si>
    <t>21.15.2</t>
  </si>
  <si>
    <t>21.15.3</t>
  </si>
  <si>
    <t>21.15.4</t>
  </si>
  <si>
    <t>Pintura epoxi</t>
  </si>
  <si>
    <t>558 MOVIMIENTO SUELOS</t>
  </si>
  <si>
    <t xml:space="preserve">Revista Vivienda </t>
  </si>
  <si>
    <t>544 HORMIGONES 0330</t>
  </si>
  <si>
    <t>544 HORMIGONES 0290</t>
  </si>
  <si>
    <t>544 HORMIGONES 0410</t>
  </si>
  <si>
    <t>544 HORMIGONES 0350</t>
  </si>
  <si>
    <t>544 HORMIGONES 0370</t>
  </si>
  <si>
    <t>554 mamposteria 0130</t>
  </si>
  <si>
    <t>508 CAPAS AISLADORAS 0020</t>
  </si>
  <si>
    <t>Perfilado de zanja</t>
  </si>
  <si>
    <t>c1 558 MOVI. SUELOS 0310</t>
  </si>
  <si>
    <t xml:space="preserve">66CARPINTERIA 0054 </t>
  </si>
  <si>
    <t>proporcional item anterior</t>
  </si>
  <si>
    <t>66CARPINTERIA 0040</t>
  </si>
  <si>
    <t>Demoliciones y retiro de producido</t>
  </si>
  <si>
    <t>Excavacion / Zanjeo para fundaciones</t>
  </si>
  <si>
    <t>AISLACIONES HIDROFUGAS</t>
  </si>
  <si>
    <t xml:space="preserve">Cielorraso desmontable </t>
  </si>
  <si>
    <t>Contrapisos de hormigon de cascotes (Incluye presntacion de memoria de calculo)</t>
  </si>
  <si>
    <t>Escalera (Incluye presentacion de memoria de calculo)</t>
  </si>
  <si>
    <t>REVESTIMIENTOS</t>
  </si>
  <si>
    <t>Provision y colocacion P01 salida de emergencia metalica contrafuego  F60</t>
  </si>
  <si>
    <t>Provision y colocacion P02 Porton de Laboratorio</t>
  </si>
  <si>
    <t>Provision y colocacion P03 puerta bajo escalera</t>
  </si>
  <si>
    <t>Artefactos</t>
  </si>
  <si>
    <t>Iluminacion de Emergencia</t>
  </si>
  <si>
    <t>Mingitorio Mural incluye valvula automatica de descarga</t>
  </si>
  <si>
    <t>522 CONTRAPISO 0040</t>
  </si>
  <si>
    <t>Mamposteria de 12cm de espesor ladrillo ceramico hueco</t>
  </si>
  <si>
    <t>554 mamposteria 0150</t>
  </si>
  <si>
    <t>Provision y Colocacion de revestimiento ceramico en locales humedos. San Lorenzo 30 x 40 Moro Hueso</t>
  </si>
  <si>
    <t>Me + Revista Vivienda</t>
  </si>
  <si>
    <t>576 REVESTIMIENTOS  560</t>
  </si>
  <si>
    <t>568 pisos 0450</t>
  </si>
  <si>
    <t>196 PISOS 0862 / 576 REVESTIMIENTOS 0560</t>
  </si>
  <si>
    <t>532 ELECTRICIDAD 0050</t>
  </si>
  <si>
    <t xml:space="preserve"> REV VIV 566 pintura ITEM 0500</t>
  </si>
  <si>
    <t xml:space="preserve"> REV VIV 566 pintura ITEM 0350</t>
  </si>
  <si>
    <t>108 iluminacion y porteria 2610</t>
  </si>
  <si>
    <t>521 construccion en seco 0300</t>
  </si>
  <si>
    <t>https://articulo.mercadolibre.com.ar/MLA-651701972-rollo-50-mt-nylon-polietileno-negro-200-micrones-4-mt-ancho-_JM</t>
  </si>
  <si>
    <t>Mesda de Granito Gris Mara 2,5 m espesor (Incluye traforos)</t>
  </si>
  <si>
    <t>Revista VIVIENDA</t>
  </si>
  <si>
    <t>166 MARMOLES Y GRANITO 0060</t>
  </si>
  <si>
    <t>167 MARMOLES Y GRANITO 0060</t>
  </si>
  <si>
    <t>ML</t>
  </si>
  <si>
    <t>Ml</t>
  </si>
  <si>
    <t>020 AMOBLAMIENTO DE COCINAS 0085</t>
  </si>
  <si>
    <t>Inodoro Andina Ferrum o calidad superior Incluye asiento +  valvula FV</t>
  </si>
  <si>
    <t>Jabonera 15x15 con agarradera blanca</t>
  </si>
  <si>
    <t>212 saNITARIOS 2360</t>
  </si>
  <si>
    <t>212 saNITARIOS 2440</t>
  </si>
  <si>
    <t>Revista Vivienda + mercado Libre</t>
  </si>
  <si>
    <t>212 Sanitarios 1750 ITEM 2510 + https://articulo.mercadolibre.com.ar/MLA-603559693-valvula-descarga-inodoro-fv-36801-tecla-dual-36804-_JM</t>
  </si>
  <si>
    <t>Marca Lucciola modelo Evoluzzione LED (CXD-030) o superior calidad, medidas 47 x 47 cm con louver doble parabólico</t>
  </si>
  <si>
    <t>kevin etl 500</t>
  </si>
  <si>
    <t>Proyector PRL 756  50W</t>
  </si>
  <si>
    <t>'pedidosbsas@lucciola.com.ar'</t>
  </si>
  <si>
    <t>Arq. Braverman. arq_braverman@yahoo.com.ar</t>
  </si>
  <si>
    <t>Rejilla guardaganado</t>
  </si>
  <si>
    <t>cañeria de aire Comprimido incluyendo soporteria</t>
  </si>
  <si>
    <t>Bocas, incluje valvulas de corte y manometro Aire Comprimido 3/4" Incluye soporteria</t>
  </si>
  <si>
    <t xml:space="preserve">Provision y colocacion de Equipos Aire Acondicionado para oficinas en 1er piso y Taller Planta Baja , capacidad según balance térmico provisión y montaje de acuerdo a Proyecto Ejecutivo.  </t>
  </si>
  <si>
    <t xml:space="preserve">Provision y colocacion de Equipos Aire Acondicionado para oficina en 1er piso y Laboratorio Planta Baja , capacidad según balance térmico provisión y montaje de acuerdo a Proyecto Ejecutivo.  </t>
  </si>
  <si>
    <t>Proyecto/ Ingenieria Basica/ Ingenieria de Detalle  (Incluye planso conforme a obra)</t>
  </si>
  <si>
    <t>145 Instalaciones contra incendio 0040</t>
  </si>
  <si>
    <t>212 SANITARIOS 2390</t>
  </si>
  <si>
    <t>Referencia Presupuesto Plasser</t>
  </si>
  <si>
    <t>Extractor</t>
  </si>
  <si>
    <t xml:space="preserve">Termotanque electrico </t>
  </si>
  <si>
    <t xml:space="preserve">Provision y colocacion P05 puerta placa </t>
  </si>
  <si>
    <t>Provision y colocacion P04 puerta placa retrete corta 0.70 x 1,60</t>
  </si>
  <si>
    <t xml:space="preserve"> 182 OBRADOR 0080</t>
  </si>
  <si>
    <t>21.4.3</t>
  </si>
  <si>
    <t>21.8.3</t>
  </si>
  <si>
    <t xml:space="preserve">Monoriel IPN 300 (incluye memoria de calculo, según pliego ) </t>
  </si>
  <si>
    <t>VENTILACION TERMOMECANICA</t>
  </si>
  <si>
    <t>https://articulo.mercadolibre.com.ar/MLA-616240494-hierro-doble-t-del-30-perfil-ipn-300-x-12-mt-viga-gramabi-_JM</t>
  </si>
  <si>
    <t>Bases  (Incluye estudio de suelos y memoria de caluculo)</t>
  </si>
  <si>
    <r>
      <t xml:space="preserve">Aislacion hidrofuga  Horizontal (Film 200 </t>
    </r>
    <r>
      <rPr>
        <sz val="10"/>
        <color rgb="FF000000"/>
        <rFont val="Calibri"/>
        <family val="2"/>
      </rPr>
      <t>µ</t>
    </r>
    <r>
      <rPr>
        <sz val="10"/>
        <color rgb="FF000000"/>
        <rFont val="Arial"/>
        <family val="2"/>
      </rPr>
      <t>m)</t>
    </r>
  </si>
  <si>
    <t xml:space="preserve">5% de estructuras de cubierta metalica </t>
  </si>
  <si>
    <t>21.11.1</t>
  </si>
  <si>
    <t>21.14.2</t>
  </si>
  <si>
    <t>21.14.7</t>
  </si>
  <si>
    <t>21.14.8</t>
  </si>
  <si>
    <t>21.14.9</t>
  </si>
  <si>
    <t xml:space="preserve"> Marca Lumenac modelo Marea LED del tipo hermético o superior, con protección de policarbonato traslucido abisagrada al cuerpo.  Incluyen tubos LEDs 2x18/20w 4000k. </t>
  </si>
  <si>
    <t>Artefactos de iluminación de embutir en cielorraso en sector oficinas, los cuales serán nuevos y en perfecto estado, marca Lucciola modelo Halley LED (RXD-030) o superior calidad, medidas 60 x 60 cm con louver doble parabólico.  Incluye lámpara LED de 30w</t>
  </si>
  <si>
    <t>21.16</t>
  </si>
  <si>
    <t>21.16.1</t>
  </si>
  <si>
    <t>21.16.2</t>
  </si>
  <si>
    <t>21.16.3</t>
  </si>
  <si>
    <t>Uss 1= $30</t>
  </si>
  <si>
    <t>114 EQUIPAMIENTO PARA EL HOGAR 0100</t>
  </si>
  <si>
    <t>114 EQUIPAMIENTO PARA EL HOGAR 0300</t>
  </si>
  <si>
    <t xml:space="preserve">Equipamiento </t>
  </si>
  <si>
    <t>Mesada</t>
  </si>
  <si>
    <t>Microondas 23 litros con grill</t>
  </si>
  <si>
    <t>21.17</t>
  </si>
  <si>
    <t>21.17.1</t>
  </si>
  <si>
    <t>21.17.2</t>
  </si>
  <si>
    <t>21.17.3</t>
  </si>
  <si>
    <t>21.17.4</t>
  </si>
  <si>
    <t>21.17.5</t>
  </si>
  <si>
    <t>21.17.6</t>
  </si>
  <si>
    <t>21.17.7</t>
  </si>
  <si>
    <t>21.17.8</t>
  </si>
  <si>
    <t>21.18</t>
  </si>
  <si>
    <t>21.19</t>
  </si>
  <si>
    <t>21.20</t>
  </si>
  <si>
    <t>21.21</t>
  </si>
  <si>
    <t>21.22</t>
  </si>
  <si>
    <t>21.18.1</t>
  </si>
  <si>
    <t>21.18.2</t>
  </si>
  <si>
    <t>21.19.1</t>
  </si>
  <si>
    <t>21.20.1</t>
  </si>
  <si>
    <t>21.20.2</t>
  </si>
  <si>
    <t>21.21.1</t>
  </si>
  <si>
    <t>21.22.1</t>
  </si>
  <si>
    <t>mes</t>
  </si>
  <si>
    <t>536 ESTRUCTURAS 0050</t>
  </si>
  <si>
    <t>De perfiles de hierro laminado y chapa galvanizada ondulada tipo cincalum</t>
  </si>
  <si>
    <t>Nueva instalacion electrica  (Incluye Proyecto Ejecutivo, monofasica, trifasica y Ayuda de Gremios)</t>
  </si>
  <si>
    <t>21.1</t>
  </si>
  <si>
    <t>CONSTRUCCCION EN SECO</t>
  </si>
  <si>
    <t>22.14</t>
  </si>
  <si>
    <t>21.15</t>
  </si>
  <si>
    <t>Garantia de Mantenimiento de Oferta</t>
  </si>
  <si>
    <t>Seguro de vida Obligatorio</t>
  </si>
  <si>
    <t>Seguro de Riesgo de Trabajo</t>
  </si>
  <si>
    <t>Seguro Accidentes Personales</t>
  </si>
  <si>
    <t>Seguro Todo riesgo de obra</t>
  </si>
  <si>
    <t>Garantia de Fiel Cumplimiento X el 10% del MC</t>
  </si>
  <si>
    <t>CIELORRASO</t>
  </si>
  <si>
    <t>Garantia de Fondo Reparo (trim)</t>
  </si>
  <si>
    <t>Obra:  LABORATORIO DE CONTROL DE CALIDAD Y AMPLICION DE DEPENDENCIAS PARA PERSONAL DE MATERIAL RODANTE EN  VICTORIA PCIA DE BA.</t>
  </si>
  <si>
    <t>LMT_OC_086</t>
  </si>
  <si>
    <t>PLANILLA DE COTIZACION</t>
  </si>
  <si>
    <t>Fletes</t>
  </si>
  <si>
    <t>PLANILLA DE GASTOS INDIRECTOS</t>
  </si>
  <si>
    <t>Ver AC</t>
  </si>
  <si>
    <t xml:space="preserve">Participacion Porcentual por Rubro </t>
  </si>
  <si>
    <t>580 sanitarios 0110 +0200</t>
  </si>
  <si>
    <t>Platea de Hormigon</t>
  </si>
  <si>
    <t>esc</t>
  </si>
  <si>
    <t>Mamposteria de bloques de hormigon</t>
  </si>
  <si>
    <t>554 mamposteria 0270</t>
  </si>
  <si>
    <t xml:space="preserve">Impermeable </t>
  </si>
  <si>
    <t>Jaharro</t>
  </si>
  <si>
    <t>Enlucido</t>
  </si>
  <si>
    <t>578 REVOQUES 0070</t>
  </si>
  <si>
    <t>578 REVOQUES 0130</t>
  </si>
  <si>
    <t>578 REVOQUES 0240</t>
  </si>
  <si>
    <t xml:space="preserve">Espejo 4 mm templado </t>
  </si>
  <si>
    <t>Provision y colocacion de V1 Ventiluz 60 x 900</t>
  </si>
  <si>
    <t>Vidrios 4mm</t>
  </si>
  <si>
    <t xml:space="preserve"> REV VIV 566 pintura ITEM 270</t>
  </si>
  <si>
    <t>21..5.2</t>
  </si>
  <si>
    <t>21.3.1.1</t>
  </si>
  <si>
    <t>21.3.1.2</t>
  </si>
  <si>
    <t>21.3.1.3</t>
  </si>
  <si>
    <t>21.3.1.4</t>
  </si>
  <si>
    <t>21.3.1.5</t>
  </si>
  <si>
    <t>21.3.1.6</t>
  </si>
  <si>
    <t>21.3.1.7</t>
  </si>
  <si>
    <t>21.3.1.8</t>
  </si>
  <si>
    <t>234 VIDRIOS CRISTALES Y ESPEJOS 0700</t>
  </si>
  <si>
    <t>21.10.2.</t>
  </si>
  <si>
    <t>21.11.2</t>
  </si>
  <si>
    <t>21.13.2</t>
  </si>
  <si>
    <t>21.13.3</t>
  </si>
  <si>
    <t>21.13.4</t>
  </si>
  <si>
    <t>21.13.5</t>
  </si>
  <si>
    <t>21.13.6</t>
  </si>
  <si>
    <t>21.13.7</t>
  </si>
  <si>
    <t>21.13.8</t>
  </si>
  <si>
    <t>21.13.9</t>
  </si>
  <si>
    <t xml:space="preserve">Provision y colocacion V2 90x 100 Oscilovatiente </t>
  </si>
  <si>
    <t>66 CARP 910</t>
  </si>
  <si>
    <t>22.14.1</t>
  </si>
  <si>
    <t>21.15.1</t>
  </si>
  <si>
    <t>21.16.5</t>
  </si>
  <si>
    <t>21.17.9</t>
  </si>
  <si>
    <t>21.17.10</t>
  </si>
  <si>
    <t>21.17.11</t>
  </si>
  <si>
    <t>21.21.2</t>
  </si>
  <si>
    <t>Mercadolibre</t>
  </si>
  <si>
    <t>https://articulo.mercadolibre.com.ar/MLA-620493952-rejilla-de-desague-guardaganado-16cm-galvanizada-con-marco-_JM</t>
  </si>
  <si>
    <t>https://articulo.mercadolibre.com.ar/MLA-745121305-aire-acondicionado-split-frio-calor-electra-6000-frigorias-_JM</t>
  </si>
  <si>
    <t>https://articulo.mercadolibre.com.ar/MLA-689572534-aire-acondicionado-split-frio-calor-electra-3000-frigorias-_JM?searchVariation=18249317975</t>
  </si>
  <si>
    <t>mecado libre</t>
  </si>
  <si>
    <t xml:space="preserve">TAREAS PRELIMINARES </t>
  </si>
  <si>
    <t>HORMIGON ARMADO / CONTRAPISO</t>
  </si>
  <si>
    <t>21.20.3</t>
  </si>
  <si>
    <t>21.20.4</t>
  </si>
  <si>
    <t>Mecado libre</t>
  </si>
  <si>
    <t>https://articulo.mercadolibre.com.ar/MLA-673030976-juego-de-griferia-para-lavatorio-kansas-plus-20724p-cr-fv-_JM</t>
  </si>
  <si>
    <t>66CARP 1010</t>
  </si>
  <si>
    <t>21.14.10</t>
  </si>
  <si>
    <t>21.14.11</t>
  </si>
  <si>
    <t>21.14.12</t>
  </si>
  <si>
    <t>21.14.13</t>
  </si>
  <si>
    <t>INSTALACION TERMOMECANICA</t>
  </si>
  <si>
    <t>Heladera  335 litros</t>
  </si>
  <si>
    <t>21.16.64</t>
  </si>
  <si>
    <t>21.16.4.1</t>
  </si>
  <si>
    <t>https://articulo.mercadolibre.com.ar/MLA-687596372-bacha-bano-ovalada-mi-pileta-acero-inoxidable-codigo-454-_JM</t>
  </si>
  <si>
    <t>Mercado libre</t>
  </si>
  <si>
    <t>Bacha de A°I° Ovalada</t>
  </si>
  <si>
    <t>https://articulo.mercadolibre.com.ar/MLA-649596784-ferrum-mingitorio-mural-antivandalico-corto-mmdj-_JM https://articulo.mercadolibre.com.ar/MLA-634217945-valvula-de-descarga-fv-36801-tecla-antivandalica-fv-349-_JM</t>
  </si>
  <si>
    <t>Canilla de Servicio</t>
  </si>
  <si>
    <t>https://listado.mercadolibre.com.ar/fv-0436#D[A:FV%200436%20]</t>
  </si>
  <si>
    <t>Griferia de ducha kansas plus</t>
  </si>
  <si>
    <t>212 Sanitarios 022</t>
  </si>
  <si>
    <t xml:space="preserve">Porta Rollo Ceramico </t>
  </si>
  <si>
    <t>21.17.12</t>
  </si>
  <si>
    <t>21.17.13</t>
  </si>
  <si>
    <t>21.17.14</t>
  </si>
  <si>
    <t>Barral y cortina de baño</t>
  </si>
  <si>
    <t>https://articulo.mercadolibre.com.ar/MLA-692239746-cortina-bano-tela-lisa-100-poliester-12-ganchos-colores-vs-_JM https://articulo.mercadolibre.com.ar/MLA-607284597-barral-de-bano-extensible-de-100-a-200-mts-_JM</t>
  </si>
  <si>
    <t>21.17.15</t>
  </si>
  <si>
    <t>Pileta de Cocina de A°I°</t>
  </si>
  <si>
    <t>212 SANITARIOS 2860</t>
  </si>
  <si>
    <t>21.17.16</t>
  </si>
  <si>
    <t xml:space="preserve">Griferia de cocina </t>
  </si>
  <si>
    <t>212 SANITORIOS 0242</t>
  </si>
  <si>
    <t>ESTRUCTURA RESISTENTE</t>
  </si>
  <si>
    <t>Tanque de polietileno rotomoldeado tricapa 1000lt (Incluye Colector)</t>
  </si>
  <si>
    <t>Instalacion x bocas</t>
  </si>
  <si>
    <t>534 Hormigones  0220</t>
  </si>
  <si>
    <t>Provision y colocacion de V3 Ventana fija 30 x 90</t>
  </si>
  <si>
    <t>234 VIDRIOS CRISTALES Y ESPEJOS 0020</t>
  </si>
  <si>
    <t>117 EXTRACTORES DE AIRE  0020</t>
  </si>
  <si>
    <t>218 TANQUES 350</t>
  </si>
  <si>
    <t>https://articulo.mercadolibre.com.ar/MLA-713995612-termotanque-acero-inox-electrico-e-200-litros-electrotermo-_JM</t>
  </si>
  <si>
    <t>MOVIMIENTO DE SUELOS</t>
  </si>
  <si>
    <t xml:space="preserve">Provision y colocacion V4 110x 100 Oscilovatiente </t>
  </si>
  <si>
    <t>Provision y colocacion de V5 Ventana fija 30 x 110</t>
  </si>
  <si>
    <t>21.13.10</t>
  </si>
  <si>
    <t>21.13.12</t>
  </si>
  <si>
    <t>Platea de Acceso de Hormigon</t>
  </si>
  <si>
    <t>Hormigón armado</t>
  </si>
  <si>
    <t>Instalación eléctrica</t>
  </si>
  <si>
    <t>Instalación sanitaria</t>
  </si>
  <si>
    <t>Pintura</t>
  </si>
  <si>
    <t>Cuadro 1.9 Item Hormigón elaborado</t>
  </si>
  <si>
    <t>Cuadro 1.5 Item Albañilería</t>
  </si>
  <si>
    <t>Cuadro 1.5 Item Carpintería metálica y de madera</t>
  </si>
  <si>
    <t>Mampostería</t>
  </si>
  <si>
    <t>Anexo VII. Metodología para la Redeterminación de Precios.</t>
  </si>
  <si>
    <t>I. Expresiones Generales de Aplicación.</t>
  </si>
  <si>
    <t>I.1- Fórmula General del Precio Redeterminado de la Obra Faltante.</t>
  </si>
  <si>
    <r>
      <t>P</t>
    </r>
    <r>
      <rPr>
        <b/>
        <sz val="9"/>
        <color theme="1"/>
        <rFont val="Calibri"/>
        <family val="2"/>
        <scheme val="minor"/>
      </rPr>
      <t>i</t>
    </r>
    <r>
      <rPr>
        <b/>
        <sz val="11"/>
        <color theme="1"/>
        <rFont val="Calibri"/>
        <family val="2"/>
        <scheme val="minor"/>
      </rPr>
      <t xml:space="preserve"> = P</t>
    </r>
    <r>
      <rPr>
        <b/>
        <sz val="7"/>
        <color theme="1"/>
        <rFont val="Calibri"/>
        <family val="2"/>
        <scheme val="minor"/>
      </rPr>
      <t>0</t>
    </r>
    <r>
      <rPr>
        <b/>
        <sz val="11"/>
        <color theme="1"/>
        <rFont val="Calibri"/>
        <family val="2"/>
        <scheme val="minor"/>
      </rPr>
      <t xml:space="preserve"> x </t>
    </r>
    <r>
      <rPr>
        <b/>
        <sz val="11"/>
        <color theme="1"/>
        <rFont val="Calibri"/>
        <family val="2"/>
      </rPr>
      <t>[</t>
    </r>
    <r>
      <rPr>
        <b/>
        <sz val="11"/>
        <color theme="1"/>
        <rFont val="Calibri"/>
        <family val="2"/>
        <scheme val="minor"/>
      </rPr>
      <t>Af x (0,10 + 0,9 x Fra) + (1 - Af) x (0,10 + 0.9 x Fri)</t>
    </r>
    <r>
      <rPr>
        <b/>
        <sz val="11"/>
        <color theme="1"/>
        <rFont val="Calibri"/>
        <family val="2"/>
      </rPr>
      <t>]</t>
    </r>
  </si>
  <si>
    <t>Donde:</t>
  </si>
  <si>
    <r>
      <t>P</t>
    </r>
    <r>
      <rPr>
        <b/>
        <sz val="9"/>
        <color theme="1"/>
        <rFont val="Calibri"/>
        <family val="2"/>
        <scheme val="minor"/>
      </rPr>
      <t>i</t>
    </r>
  </si>
  <si>
    <t>Precio de la obra faltante redeterminado (I: nueva redeterminación)</t>
  </si>
  <si>
    <r>
      <t>P</t>
    </r>
    <r>
      <rPr>
        <b/>
        <sz val="7"/>
        <color theme="1"/>
        <rFont val="Calibri"/>
        <family val="2"/>
        <scheme val="minor"/>
      </rPr>
      <t>0</t>
    </r>
  </si>
  <si>
    <t>Precio de la obra faltante al momento de la redeterminación, expresada en valores básicos de contrato.</t>
  </si>
  <si>
    <t>Af</t>
  </si>
  <si>
    <t>Anticipo financiero expresado en tanto por uno.</t>
  </si>
  <si>
    <t>Fri</t>
  </si>
  <si>
    <t>Factor de reajuste de la redeterminación identificada como "i".</t>
  </si>
  <si>
    <t>Fra</t>
  </si>
  <si>
    <t>Factor de reajuste en la redeterminación vigente al momento de la certificación del anticipo, completar en números con dos decimales. Si el anticipo no se hubiera certificado al momento de la redeterminación de precios, será reemplazado por Fri.</t>
  </si>
  <si>
    <t>I.2- Fórmula General del Factor de Reajuste.</t>
  </si>
  <si>
    <r>
      <t xml:space="preserve">Fri = </t>
    </r>
    <r>
      <rPr>
        <b/>
        <sz val="11"/>
        <color theme="1"/>
        <rFont val="Calibri"/>
        <family val="2"/>
      </rPr>
      <t>[α</t>
    </r>
    <r>
      <rPr>
        <b/>
        <sz val="6"/>
        <color theme="1"/>
        <rFont val="Calibri"/>
        <family val="2"/>
      </rPr>
      <t xml:space="preserve">M </t>
    </r>
    <r>
      <rPr>
        <b/>
        <sz val="11"/>
        <color theme="1"/>
        <rFont val="Calibri"/>
        <family val="2"/>
      </rPr>
      <t>x FMi + α</t>
    </r>
    <r>
      <rPr>
        <b/>
        <sz val="6"/>
        <color theme="1"/>
        <rFont val="Calibri"/>
        <family val="2"/>
      </rPr>
      <t xml:space="preserve">EM </t>
    </r>
    <r>
      <rPr>
        <b/>
        <sz val="11"/>
        <color theme="1"/>
        <rFont val="Calibri"/>
        <family val="2"/>
      </rPr>
      <t>x FEMi + α</t>
    </r>
    <r>
      <rPr>
        <b/>
        <sz val="6"/>
        <color theme="1"/>
        <rFont val="Calibri"/>
        <family val="2"/>
      </rPr>
      <t>M0</t>
    </r>
    <r>
      <rPr>
        <b/>
        <sz val="11"/>
        <color theme="1"/>
        <rFont val="Calibri"/>
        <family val="2"/>
      </rPr>
      <t xml:space="preserve"> x (MOi / MO</t>
    </r>
    <r>
      <rPr>
        <b/>
        <sz val="7"/>
        <color theme="1"/>
        <rFont val="Calibri"/>
        <family val="2"/>
      </rPr>
      <t>0</t>
    </r>
    <r>
      <rPr>
        <b/>
        <sz val="11"/>
        <color theme="1"/>
        <rFont val="Calibri"/>
        <family val="2"/>
      </rPr>
      <t>) + α</t>
    </r>
    <r>
      <rPr>
        <b/>
        <sz val="6"/>
        <color theme="1"/>
        <rFont val="Calibri"/>
        <family val="2"/>
      </rPr>
      <t>T</t>
    </r>
    <r>
      <rPr>
        <b/>
        <sz val="11"/>
        <color theme="1"/>
        <rFont val="Calibri"/>
        <family val="2"/>
      </rPr>
      <t xml:space="preserve"> x (Ti / T</t>
    </r>
    <r>
      <rPr>
        <b/>
        <sz val="7"/>
        <color theme="1"/>
        <rFont val="Calibri"/>
        <family val="2"/>
      </rPr>
      <t>0</t>
    </r>
    <r>
      <rPr>
        <b/>
        <sz val="11"/>
        <color theme="1"/>
        <rFont val="Calibri"/>
        <family val="2"/>
      </rPr>
      <t>) + α</t>
    </r>
    <r>
      <rPr>
        <b/>
        <sz val="6"/>
        <color theme="1"/>
        <rFont val="Calibri"/>
        <family val="2"/>
      </rPr>
      <t>CL</t>
    </r>
    <r>
      <rPr>
        <b/>
        <sz val="11"/>
        <color theme="1"/>
        <rFont val="Calibri"/>
        <family val="2"/>
      </rPr>
      <t xml:space="preserve"> x (CLi / CL</t>
    </r>
    <r>
      <rPr>
        <b/>
        <sz val="7"/>
        <color theme="1"/>
        <rFont val="Calibri"/>
        <family val="2"/>
      </rPr>
      <t>0</t>
    </r>
    <r>
      <rPr>
        <b/>
        <sz val="11"/>
        <color theme="1"/>
        <rFont val="Calibri"/>
        <family val="2"/>
      </rPr>
      <t xml:space="preserve">)] x {1 + </t>
    </r>
    <r>
      <rPr>
        <b/>
        <i/>
        <sz val="11"/>
        <color theme="1"/>
        <rFont val="Calibri"/>
        <family val="2"/>
      </rPr>
      <t>k</t>
    </r>
    <r>
      <rPr>
        <b/>
        <sz val="11"/>
        <color theme="1"/>
        <rFont val="Calibri"/>
        <family val="2"/>
      </rPr>
      <t xml:space="preserve"> x (CFi - CF</t>
    </r>
    <r>
      <rPr>
        <b/>
        <sz val="7"/>
        <color theme="1"/>
        <rFont val="Calibri"/>
        <family val="2"/>
      </rPr>
      <t xml:space="preserve">0 </t>
    </r>
    <r>
      <rPr>
        <b/>
        <sz val="11"/>
        <color theme="1"/>
        <rFont val="Calibri"/>
        <family val="2"/>
      </rPr>
      <t>/ CF</t>
    </r>
    <r>
      <rPr>
        <b/>
        <sz val="7"/>
        <color theme="1"/>
        <rFont val="Calibri"/>
        <family val="2"/>
      </rPr>
      <t>0</t>
    </r>
    <r>
      <rPr>
        <b/>
        <sz val="11"/>
        <color theme="1"/>
        <rFont val="Calibri"/>
        <family val="2"/>
      </rPr>
      <t>)}</t>
    </r>
  </si>
  <si>
    <t>Fmi</t>
  </si>
  <si>
    <t>Factor de variación de precios del componente  Materiales.</t>
  </si>
  <si>
    <t>Mediante la expresión matemática que se desarrolla, pondera las variaciones de los precios de los principales materiales de cada obra.</t>
  </si>
  <si>
    <t>FEMi</t>
  </si>
  <si>
    <t>Factor de variación de precios del componente Equipos y Máquinas.</t>
  </si>
  <si>
    <t>Mediante la expresión matemática que se desarrolla, pondera la variación de los precios correspondientes a utilización de equipo de construcción (amortización, repuestos y reparaciones)</t>
  </si>
  <si>
    <r>
      <t>MOi / MO</t>
    </r>
    <r>
      <rPr>
        <b/>
        <sz val="7"/>
        <color theme="1"/>
        <rFont val="Calibri"/>
        <family val="2"/>
        <scheme val="minor"/>
      </rPr>
      <t>0</t>
    </r>
  </si>
  <si>
    <t>Factor de variación de precios del componente  Mano de Obra</t>
  </si>
  <si>
    <r>
      <t>Es la relación entre el indicador de precio correspondiente al mes de la redeterminación (MOi) y el indicador de precio al mes Base (MO</t>
    </r>
    <r>
      <rPr>
        <sz val="7"/>
        <color theme="1"/>
        <rFont val="Calibri"/>
        <family val="2"/>
        <scheme val="minor"/>
      </rPr>
      <t>0</t>
    </r>
    <r>
      <rPr>
        <sz val="10"/>
        <color theme="1"/>
        <rFont val="Calibri"/>
        <family val="2"/>
        <scheme val="minor"/>
      </rPr>
      <t>)</t>
    </r>
  </si>
  <si>
    <r>
      <t>Ti / T</t>
    </r>
    <r>
      <rPr>
        <b/>
        <sz val="7"/>
        <color theme="1"/>
        <rFont val="Calibri"/>
        <family val="2"/>
        <scheme val="minor"/>
      </rPr>
      <t>0</t>
    </r>
  </si>
  <si>
    <t>Factor de variación de precios del componente Transporte Carretero</t>
  </si>
  <si>
    <r>
      <t>Es la relación entre el indicador de precio correspondiente al mes de la redeterminación (Ti) y el indicador de precio al mes Base (T</t>
    </r>
    <r>
      <rPr>
        <sz val="7"/>
        <color theme="1"/>
        <rFont val="Calibri"/>
        <family val="2"/>
        <scheme val="minor"/>
      </rPr>
      <t>0</t>
    </r>
    <r>
      <rPr>
        <sz val="10"/>
        <color theme="1"/>
        <rFont val="Calibri"/>
        <family val="2"/>
        <scheme val="minor"/>
      </rPr>
      <t>)</t>
    </r>
  </si>
  <si>
    <r>
      <t>CLi / CL</t>
    </r>
    <r>
      <rPr>
        <b/>
        <sz val="7"/>
        <color theme="1"/>
        <rFont val="Calibri"/>
        <family val="2"/>
        <scheme val="minor"/>
      </rPr>
      <t>0</t>
    </r>
  </si>
  <si>
    <t>Factor de variación de precios del componente  Combustible y Lubricantes</t>
  </si>
  <si>
    <r>
      <t>Es la relación entre el indicador de precio correspondiente al mes de la redeterminación (CLi) y el indicador de precio al mes Base (CL</t>
    </r>
    <r>
      <rPr>
        <sz val="7"/>
        <color theme="1"/>
        <rFont val="Calibri"/>
        <family val="2"/>
        <scheme val="minor"/>
      </rPr>
      <t>0</t>
    </r>
    <r>
      <rPr>
        <sz val="10"/>
        <color theme="1"/>
        <rFont val="Calibri"/>
        <family val="2"/>
        <scheme val="minor"/>
      </rPr>
      <t>)</t>
    </r>
  </si>
  <si>
    <t>α</t>
  </si>
  <si>
    <t>Coeficientes de ponderación</t>
  </si>
  <si>
    <t>Representan la incidencia del costo de los componentes en el costo directo total de la obra. Costo directo es el precio total menos los impuestos, la utilidad, el costo financiero, los gastos indirectos y los gastos generales.</t>
  </si>
  <si>
    <r>
      <t>CFi - CF</t>
    </r>
    <r>
      <rPr>
        <b/>
        <sz val="7"/>
        <color theme="1"/>
        <rFont val="Calibri"/>
        <family val="2"/>
        <scheme val="minor"/>
      </rPr>
      <t>0</t>
    </r>
    <r>
      <rPr>
        <b/>
        <sz val="11"/>
        <color theme="1"/>
        <rFont val="Calibri"/>
        <family val="2"/>
        <scheme val="minor"/>
      </rPr>
      <t xml:space="preserve"> / CF</t>
    </r>
    <r>
      <rPr>
        <b/>
        <sz val="7"/>
        <color theme="1"/>
        <rFont val="Calibri"/>
        <family val="2"/>
        <scheme val="minor"/>
      </rPr>
      <t>0</t>
    </r>
  </si>
  <si>
    <t>Factor de variación del componente  Costo Financiero</t>
  </si>
  <si>
    <t>Se calcula según las siguientes expresiones:</t>
  </si>
  <si>
    <r>
      <t xml:space="preserve">CFi = (1 + </t>
    </r>
    <r>
      <rPr>
        <sz val="14"/>
        <color theme="1"/>
        <rFont val="Calibri"/>
        <family val="2"/>
        <scheme val="minor"/>
      </rPr>
      <t>i</t>
    </r>
    <r>
      <rPr>
        <sz val="7"/>
        <color theme="1"/>
        <rFont val="Calibri"/>
        <family val="2"/>
        <scheme val="minor"/>
      </rPr>
      <t>i</t>
    </r>
    <r>
      <rPr>
        <sz val="11"/>
        <color theme="1"/>
        <rFont val="Calibri"/>
        <family val="2"/>
        <scheme val="minor"/>
      </rPr>
      <t xml:space="preserve"> / 12)^</t>
    </r>
    <r>
      <rPr>
        <i/>
        <sz val="11"/>
        <color theme="1"/>
        <rFont val="Calibri"/>
        <family val="2"/>
        <scheme val="minor"/>
      </rPr>
      <t>n</t>
    </r>
    <r>
      <rPr>
        <sz val="11"/>
        <color theme="1"/>
        <rFont val="Calibri"/>
        <family val="2"/>
        <scheme val="minor"/>
      </rPr>
      <t>/30 - 1</t>
    </r>
  </si>
  <si>
    <r>
      <rPr>
        <b/>
        <sz val="14"/>
        <color theme="1"/>
        <rFont val="Calibri"/>
        <family val="2"/>
        <scheme val="minor"/>
      </rPr>
      <t>i</t>
    </r>
    <r>
      <rPr>
        <b/>
        <sz val="7"/>
        <color theme="1"/>
        <rFont val="Calibri"/>
        <family val="2"/>
        <scheme val="minor"/>
      </rPr>
      <t>i</t>
    </r>
  </si>
  <si>
    <t>Indicador correspondiente al Costo Financiero</t>
  </si>
  <si>
    <t>Es la Tasa Nominal Anual Activa a 30 días del Banco de la Nación Argentina expresada en coeficiente, considerando el valor del día 15 del mes de la redeterminación, o en su defecto el día hábil posterior.</t>
  </si>
  <si>
    <r>
      <rPr>
        <b/>
        <sz val="14"/>
        <color theme="1"/>
        <rFont val="Calibri"/>
        <family val="2"/>
        <scheme val="minor"/>
      </rPr>
      <t>i</t>
    </r>
    <r>
      <rPr>
        <b/>
        <sz val="7"/>
        <color theme="1"/>
        <rFont val="Calibri"/>
        <family val="2"/>
        <scheme val="minor"/>
      </rPr>
      <t>0</t>
    </r>
  </si>
  <si>
    <t>Idem anterior, considerando el valor del día 15 del mes Base del Contrato, o en su defecto el día hábil posterior.</t>
  </si>
  <si>
    <t>n</t>
  </si>
  <si>
    <r>
      <rPr>
        <u/>
        <sz val="10"/>
        <color theme="1"/>
        <rFont val="Calibri"/>
        <family val="2"/>
        <scheme val="minor"/>
      </rPr>
      <t>Días de plazo</t>
    </r>
    <r>
      <rPr>
        <sz val="10"/>
        <color theme="1"/>
        <rFont val="Calibri"/>
        <family val="2"/>
        <scheme val="minor"/>
      </rPr>
      <t xml:space="preserve"> establecidos para el pago de los certificados.</t>
    </r>
  </si>
  <si>
    <t>K</t>
  </si>
  <si>
    <t>Coeficiente de ponderación del costo financiero. Se adopta 0,01</t>
  </si>
  <si>
    <t>I.3- Fórmula General de la Variación de precios del componente Materiales</t>
  </si>
  <si>
    <r>
      <t xml:space="preserve">FMi = </t>
    </r>
    <r>
      <rPr>
        <b/>
        <sz val="11"/>
        <color theme="1"/>
        <rFont val="Calibri"/>
        <family val="2"/>
      </rPr>
      <t>β</t>
    </r>
    <r>
      <rPr>
        <b/>
        <sz val="6"/>
        <color theme="1"/>
        <rFont val="Calibri"/>
        <family val="2"/>
      </rPr>
      <t>M1</t>
    </r>
    <r>
      <rPr>
        <b/>
        <sz val="11"/>
        <color theme="1"/>
        <rFont val="Calibri"/>
        <family val="2"/>
      </rPr>
      <t xml:space="preserve"> x (M1i / M1</t>
    </r>
    <r>
      <rPr>
        <b/>
        <sz val="7"/>
        <color theme="1"/>
        <rFont val="Calibri"/>
        <family val="2"/>
      </rPr>
      <t>0</t>
    </r>
    <r>
      <rPr>
        <b/>
        <sz val="11"/>
        <color theme="1"/>
        <rFont val="Calibri"/>
        <family val="2"/>
      </rPr>
      <t>) + β</t>
    </r>
    <r>
      <rPr>
        <b/>
        <sz val="6"/>
        <color theme="1"/>
        <rFont val="Calibri"/>
        <family val="2"/>
      </rPr>
      <t>M2</t>
    </r>
    <r>
      <rPr>
        <b/>
        <sz val="11"/>
        <color theme="1"/>
        <rFont val="Calibri"/>
        <family val="2"/>
      </rPr>
      <t xml:space="preserve"> x (M2i / M2</t>
    </r>
    <r>
      <rPr>
        <b/>
        <sz val="7"/>
        <color theme="1"/>
        <rFont val="Calibri"/>
        <family val="2"/>
      </rPr>
      <t>0</t>
    </r>
    <r>
      <rPr>
        <b/>
        <sz val="11"/>
        <color theme="1"/>
        <rFont val="Calibri"/>
        <family val="2"/>
      </rPr>
      <t>) + β</t>
    </r>
    <r>
      <rPr>
        <b/>
        <sz val="6"/>
        <color theme="1"/>
        <rFont val="Calibri"/>
        <family val="2"/>
      </rPr>
      <t>M3</t>
    </r>
    <r>
      <rPr>
        <b/>
        <sz val="11"/>
        <color theme="1"/>
        <rFont val="Calibri"/>
        <family val="2"/>
      </rPr>
      <t xml:space="preserve"> x (M3i / M3</t>
    </r>
    <r>
      <rPr>
        <b/>
        <sz val="7"/>
        <color theme="1"/>
        <rFont val="Calibri"/>
        <family val="2"/>
      </rPr>
      <t>0</t>
    </r>
    <r>
      <rPr>
        <b/>
        <sz val="11"/>
        <color theme="1"/>
        <rFont val="Calibri"/>
        <family val="2"/>
      </rPr>
      <t>) + … + β</t>
    </r>
    <r>
      <rPr>
        <b/>
        <sz val="6"/>
        <color theme="1"/>
        <rFont val="Calibri"/>
        <family val="2"/>
      </rPr>
      <t>Mn</t>
    </r>
    <r>
      <rPr>
        <b/>
        <sz val="11"/>
        <color theme="1"/>
        <rFont val="Calibri"/>
        <family val="2"/>
      </rPr>
      <t xml:space="preserve"> x (Mni / Mn</t>
    </r>
    <r>
      <rPr>
        <b/>
        <sz val="7"/>
        <color theme="1"/>
        <rFont val="Calibri"/>
        <family val="2"/>
      </rPr>
      <t>0</t>
    </r>
    <r>
      <rPr>
        <b/>
        <sz val="11"/>
        <color theme="1"/>
        <rFont val="Calibri"/>
        <family val="2"/>
      </rPr>
      <t>)</t>
    </r>
  </si>
  <si>
    <t>M1; M2; … Mn</t>
  </si>
  <si>
    <t>Precios o indicadores de precios de los distintos materiales considerados</t>
  </si>
  <si>
    <t>Según corresponda, del mes de redeterminación "i" o del mes básico "0"</t>
  </si>
  <si>
    <r>
      <t>β</t>
    </r>
    <r>
      <rPr>
        <b/>
        <sz val="6"/>
        <color theme="1"/>
        <rFont val="Calibri"/>
        <family val="2"/>
        <scheme val="minor"/>
      </rPr>
      <t>M1</t>
    </r>
    <r>
      <rPr>
        <b/>
        <sz val="11"/>
        <color theme="1"/>
        <rFont val="Calibri"/>
        <family val="2"/>
        <scheme val="minor"/>
      </rPr>
      <t>; β</t>
    </r>
    <r>
      <rPr>
        <b/>
        <sz val="6"/>
        <color theme="1"/>
        <rFont val="Calibri"/>
        <family val="2"/>
        <scheme val="minor"/>
      </rPr>
      <t>M2</t>
    </r>
    <r>
      <rPr>
        <b/>
        <sz val="11"/>
        <color theme="1"/>
        <rFont val="Calibri"/>
        <family val="2"/>
        <scheme val="minor"/>
      </rPr>
      <t>; … β</t>
    </r>
    <r>
      <rPr>
        <b/>
        <sz val="6"/>
        <color theme="1"/>
        <rFont val="Calibri"/>
        <family val="2"/>
        <scheme val="minor"/>
      </rPr>
      <t>Mn1</t>
    </r>
  </si>
  <si>
    <t>Coeficientes de ponderación de los materiales</t>
  </si>
  <si>
    <t>Representan la incidencia de los n materiales más representativos en el costo-costo total del componente materiales.</t>
  </si>
  <si>
    <t>I.4- Fórmula General la Variación de precios del componente Equipos y Máquinas.</t>
  </si>
  <si>
    <t>Se evaluará aplicando la siguiente expresión que pondera la variación de los subcomponentes Amortización de Equipos (AE) y Reparaciones y Repuestos (RR) de la obra:</t>
  </si>
  <si>
    <r>
      <t>FEMi = CAE x (AE</t>
    </r>
    <r>
      <rPr>
        <b/>
        <sz val="9"/>
        <color theme="1"/>
        <rFont val="Calibri"/>
        <family val="2"/>
        <scheme val="minor"/>
      </rPr>
      <t>i</t>
    </r>
    <r>
      <rPr>
        <b/>
        <sz val="11"/>
        <color theme="1"/>
        <rFont val="Calibri"/>
        <family val="2"/>
        <scheme val="minor"/>
      </rPr>
      <t xml:space="preserve"> / AE</t>
    </r>
    <r>
      <rPr>
        <b/>
        <sz val="7"/>
        <color theme="1"/>
        <rFont val="Calibri"/>
        <family val="2"/>
        <scheme val="minor"/>
      </rPr>
      <t>0</t>
    </r>
    <r>
      <rPr>
        <b/>
        <sz val="11"/>
        <color theme="1"/>
        <rFont val="Calibri"/>
        <family val="2"/>
        <scheme val="minor"/>
      </rPr>
      <t xml:space="preserve">) + CRR x </t>
    </r>
    <r>
      <rPr>
        <b/>
        <sz val="11"/>
        <color theme="1"/>
        <rFont val="Calibri"/>
        <family val="2"/>
      </rPr>
      <t>{0,7 x (AEi / AE</t>
    </r>
    <r>
      <rPr>
        <b/>
        <sz val="7"/>
        <color theme="1"/>
        <rFont val="Calibri"/>
        <family val="2"/>
      </rPr>
      <t>0</t>
    </r>
    <r>
      <rPr>
        <b/>
        <sz val="11"/>
        <color theme="1"/>
        <rFont val="Calibri"/>
        <family val="2"/>
      </rPr>
      <t>) + 0,3 x (MOi/MO</t>
    </r>
    <r>
      <rPr>
        <b/>
        <sz val="7"/>
        <color theme="1"/>
        <rFont val="Calibri"/>
        <family val="2"/>
      </rPr>
      <t>0</t>
    </r>
    <r>
      <rPr>
        <b/>
        <sz val="11"/>
        <color theme="1"/>
        <rFont val="Calibri"/>
        <family val="2"/>
      </rPr>
      <t>)}</t>
    </r>
  </si>
  <si>
    <r>
      <t>AE</t>
    </r>
    <r>
      <rPr>
        <b/>
        <sz val="9"/>
        <color theme="1"/>
        <rFont val="Calibri"/>
        <family val="2"/>
        <scheme val="minor"/>
      </rPr>
      <t>i</t>
    </r>
    <r>
      <rPr>
        <b/>
        <sz val="11"/>
        <color theme="1"/>
        <rFont val="Calibri"/>
        <family val="2"/>
        <scheme val="minor"/>
      </rPr>
      <t xml:space="preserve"> / AE</t>
    </r>
    <r>
      <rPr>
        <b/>
        <sz val="7"/>
        <color theme="1"/>
        <rFont val="Calibri"/>
        <family val="2"/>
        <scheme val="minor"/>
      </rPr>
      <t>0</t>
    </r>
  </si>
  <si>
    <t>Factor de variación de precios del componente - Mano de obra</t>
  </si>
  <si>
    <t>CAE; CRR</t>
  </si>
  <si>
    <t>Coeficientes de ponderación de los subcomponentes Amortización de Equipos "CAE" y Reparaciones y Repuestos "CRR"</t>
  </si>
  <si>
    <t>Representan la incidencia de estos subcomponentes en el precio total del componente Equipos y Máquinas en el total de la obra recuperación y Debe verificarse que : CAE + CRR = 1</t>
  </si>
  <si>
    <t>II. Valores de Aplicación para el presente contrato.</t>
  </si>
  <si>
    <t>Valores a considerar para la fórmula del Factor de Reajuste</t>
  </si>
  <si>
    <t>Componentes</t>
  </si>
  <si>
    <t>Factor αn</t>
  </si>
  <si>
    <t>Índice o Valor a Considerar</t>
  </si>
  <si>
    <t>Materiales (FM)</t>
  </si>
  <si>
    <t>Según Fórmula I.3</t>
  </si>
  <si>
    <t>Equipos y Máquinas (FEM)</t>
  </si>
  <si>
    <t>Según Fórmula I.4</t>
  </si>
  <si>
    <t>Mano de Obra (MO)</t>
  </si>
  <si>
    <t>Índice "Mano de Obra" cuadro 1.4 de I "Capítulo Mano de Obra" publicado en el marco del decreto 1295/2002" del INDEC informa ("ANEXO INDEC")</t>
  </si>
  <si>
    <t>Transporte (T)</t>
  </si>
  <si>
    <t>Índice Camión con Acoplado; DMT 450km, publicado por Vialidad Nacional para la aplicación del decreto 1295/02</t>
  </si>
  <si>
    <t>Combustibles y Lubricantes (CL)</t>
  </si>
  <si>
    <t>Índice CIIU-3 2320/CPC 33360-1 - Gas Oil - Cuadro IPIB publicado en el marco del decreto 1295/2002" del INDEC informa "ANEXO INDEC"</t>
  </si>
  <si>
    <t>Valores a considerar para la fórmula del componente Materiales</t>
  </si>
  <si>
    <t>Material</t>
  </si>
  <si>
    <t>Factor βn</t>
  </si>
  <si>
    <t>IPIB Mayor desag. 2422 35110-3 Pinturas al látex - Anexo INDEC</t>
  </si>
  <si>
    <t>Valores a considerar para la fórmula del componente Equipos y Máquinas</t>
  </si>
  <si>
    <t>Componente</t>
  </si>
  <si>
    <t>Amortización de Equipos (AE)</t>
  </si>
  <si>
    <r>
      <rPr>
        <u/>
        <sz val="10"/>
        <color theme="1"/>
        <rFont val="Calibri"/>
        <family val="2"/>
        <scheme val="minor"/>
      </rPr>
      <t>Índice Ponderado</t>
    </r>
    <r>
      <rPr>
        <sz val="10"/>
        <color theme="1"/>
        <rFont val="Calibri"/>
        <family val="2"/>
        <scheme val="minor"/>
      </rPr>
      <t xml:space="preserve">
35% Tabla SIPM- Importado- Índice Equipos - Amortización de
equipo
65% Tabla IPIB-Máquina Vial Autopropulsada- Índice CIIU3
2924/CPC 44427-1
Ambos obtenidos del “ANEXO INDEC”</t>
    </r>
  </si>
  <si>
    <t>Índice "Mano de Obra" cuadro 1,4 de I "Capítulo Mano de Obra" publicado en el marco del decreto 1295/2002" del INDEC informa ("ANEXO INDEC")</t>
  </si>
  <si>
    <t>Coeficiente Amortización CAE</t>
  </si>
  <si>
    <t>Se adopta 0,7</t>
  </si>
  <si>
    <t>Coeficiente Rep. Y Rep. CRR</t>
  </si>
  <si>
    <t>Se adopta 0,3</t>
  </si>
  <si>
    <t>III. Fórmulas resultantes de aplicación para el presente contrato.</t>
  </si>
  <si>
    <r>
      <t>FEMi = 0,7 x (AE</t>
    </r>
    <r>
      <rPr>
        <b/>
        <sz val="9"/>
        <color theme="1"/>
        <rFont val="Calibri"/>
        <family val="2"/>
        <scheme val="minor"/>
      </rPr>
      <t>i</t>
    </r>
    <r>
      <rPr>
        <b/>
        <sz val="11"/>
        <color theme="1"/>
        <rFont val="Calibri"/>
        <family val="2"/>
        <scheme val="minor"/>
      </rPr>
      <t xml:space="preserve"> / AE</t>
    </r>
    <r>
      <rPr>
        <b/>
        <sz val="7"/>
        <color theme="1"/>
        <rFont val="Calibri"/>
        <family val="2"/>
        <scheme val="minor"/>
      </rPr>
      <t>0</t>
    </r>
    <r>
      <rPr>
        <b/>
        <sz val="11"/>
        <color theme="1"/>
        <rFont val="Calibri"/>
        <family val="2"/>
        <scheme val="minor"/>
      </rPr>
      <t xml:space="preserve">) + 0,3 x </t>
    </r>
    <r>
      <rPr>
        <b/>
        <sz val="11"/>
        <color theme="1"/>
        <rFont val="Calibri"/>
        <family val="2"/>
      </rPr>
      <t>{0,7 x (AE</t>
    </r>
    <r>
      <rPr>
        <b/>
        <sz val="9"/>
        <color theme="1"/>
        <rFont val="Calibri"/>
        <family val="2"/>
      </rPr>
      <t>i</t>
    </r>
    <r>
      <rPr>
        <b/>
        <sz val="11"/>
        <color theme="1"/>
        <rFont val="Calibri"/>
        <family val="2"/>
      </rPr>
      <t xml:space="preserve"> / AE</t>
    </r>
    <r>
      <rPr>
        <b/>
        <sz val="7"/>
        <color theme="1"/>
        <rFont val="Calibri"/>
        <family val="2"/>
      </rPr>
      <t>0</t>
    </r>
    <r>
      <rPr>
        <b/>
        <sz val="11"/>
        <color theme="1"/>
        <rFont val="Calibri"/>
        <family val="2"/>
      </rPr>
      <t>) + 0,3 x (MO</t>
    </r>
    <r>
      <rPr>
        <b/>
        <sz val="9"/>
        <color theme="1"/>
        <rFont val="Calibri"/>
        <family val="2"/>
      </rPr>
      <t>i</t>
    </r>
    <r>
      <rPr>
        <b/>
        <sz val="11"/>
        <color theme="1"/>
        <rFont val="Calibri"/>
        <family val="2"/>
      </rPr>
      <t xml:space="preserve"> / MO</t>
    </r>
    <r>
      <rPr>
        <b/>
        <sz val="7"/>
        <color theme="1"/>
        <rFont val="Calibri"/>
        <family val="2"/>
      </rPr>
      <t>0</t>
    </r>
    <r>
      <rPr>
        <b/>
        <sz val="11"/>
        <color theme="1"/>
        <rFont val="Calibri"/>
        <family val="2"/>
      </rPr>
      <t>)}</t>
    </r>
  </si>
  <si>
    <r>
      <t>FMi = 0,09 x (M1i / M1</t>
    </r>
    <r>
      <rPr>
        <b/>
        <sz val="7"/>
        <color theme="1"/>
        <rFont val="Calibri"/>
        <family val="2"/>
        <scheme val="minor"/>
      </rPr>
      <t>0</t>
    </r>
    <r>
      <rPr>
        <b/>
        <sz val="11"/>
        <color theme="1"/>
        <rFont val="Calibri"/>
        <family val="2"/>
        <scheme val="minor"/>
      </rPr>
      <t>) + 0,12 x (M2i / M2</t>
    </r>
    <r>
      <rPr>
        <b/>
        <sz val="7"/>
        <color theme="1"/>
        <rFont val="Calibri"/>
        <family val="2"/>
        <scheme val="minor"/>
      </rPr>
      <t>0</t>
    </r>
    <r>
      <rPr>
        <b/>
        <sz val="11"/>
        <color theme="1"/>
        <rFont val="Calibri"/>
        <family val="2"/>
        <scheme val="minor"/>
      </rPr>
      <t>) + 0,60 x (M3i / M3</t>
    </r>
    <r>
      <rPr>
        <b/>
        <sz val="7"/>
        <color theme="1"/>
        <rFont val="Calibri"/>
        <family val="2"/>
        <scheme val="minor"/>
      </rPr>
      <t>0</t>
    </r>
    <r>
      <rPr>
        <b/>
        <sz val="11"/>
        <color theme="1"/>
        <rFont val="Calibri"/>
        <family val="2"/>
        <scheme val="minor"/>
      </rPr>
      <t>) + 0,03 x (M4i / M4</t>
    </r>
    <r>
      <rPr>
        <b/>
        <sz val="7"/>
        <color theme="1"/>
        <rFont val="Calibri"/>
        <family val="2"/>
        <scheme val="minor"/>
      </rPr>
      <t>0</t>
    </r>
    <r>
      <rPr>
        <b/>
        <sz val="11"/>
        <color theme="1"/>
        <rFont val="Calibri"/>
        <family val="2"/>
        <scheme val="minor"/>
      </rPr>
      <t>) + 0,16 x (M5i / M5</t>
    </r>
    <r>
      <rPr>
        <b/>
        <sz val="7"/>
        <color theme="1"/>
        <rFont val="Calibri"/>
        <family val="2"/>
        <scheme val="minor"/>
      </rPr>
      <t>0</t>
    </r>
    <r>
      <rPr>
        <b/>
        <sz val="11"/>
        <color theme="1"/>
        <rFont val="Calibri"/>
        <family val="2"/>
        <scheme val="minor"/>
      </rPr>
      <t>)</t>
    </r>
  </si>
  <si>
    <r>
      <t xml:space="preserve">FRi = </t>
    </r>
    <r>
      <rPr>
        <b/>
        <sz val="11"/>
        <color theme="1"/>
        <rFont val="Calibri"/>
        <family val="2"/>
      </rPr>
      <t>[0,34 x FMi + 0,02 x FEMi + 0,54 x (MOi / MO</t>
    </r>
    <r>
      <rPr>
        <b/>
        <sz val="7"/>
        <color theme="1"/>
        <rFont val="Calibri"/>
        <family val="2"/>
      </rPr>
      <t>0</t>
    </r>
    <r>
      <rPr>
        <b/>
        <sz val="11"/>
        <color theme="1"/>
        <rFont val="Calibri"/>
        <family val="2"/>
      </rPr>
      <t>) + 0,06 x (Ti / T</t>
    </r>
    <r>
      <rPr>
        <b/>
        <sz val="7"/>
        <color theme="1"/>
        <rFont val="Calibri"/>
        <family val="2"/>
      </rPr>
      <t>0</t>
    </r>
    <r>
      <rPr>
        <b/>
        <sz val="11"/>
        <color theme="1"/>
        <rFont val="Calibri"/>
        <family val="2"/>
      </rPr>
      <t>) + 0,04 x (Cli / CL</t>
    </r>
    <r>
      <rPr>
        <b/>
        <sz val="7"/>
        <color theme="1"/>
        <rFont val="Calibri"/>
        <family val="2"/>
      </rPr>
      <t>0</t>
    </r>
    <r>
      <rPr>
        <b/>
        <sz val="11"/>
        <color theme="1"/>
        <rFont val="Calibri"/>
        <family val="2"/>
      </rPr>
      <t>)] x {1 + 0,01 x (CFi - CF</t>
    </r>
    <r>
      <rPr>
        <b/>
        <sz val="7"/>
        <color theme="1"/>
        <rFont val="Calibri"/>
        <family val="2"/>
      </rPr>
      <t>0</t>
    </r>
    <r>
      <rPr>
        <b/>
        <sz val="11"/>
        <color theme="1"/>
        <rFont val="Calibri"/>
        <family val="2"/>
      </rPr>
      <t xml:space="preserve"> / CF</t>
    </r>
    <r>
      <rPr>
        <b/>
        <sz val="7"/>
        <color theme="1"/>
        <rFont val="Calibri"/>
        <family val="2"/>
      </rPr>
      <t>0</t>
    </r>
    <r>
      <rPr>
        <b/>
        <sz val="11"/>
        <color theme="1"/>
        <rFont val="Calibri"/>
        <family val="2"/>
      </rPr>
      <t>)}</t>
    </r>
  </si>
  <si>
    <r>
      <t>Pi = P</t>
    </r>
    <r>
      <rPr>
        <b/>
        <sz val="7"/>
        <color theme="1"/>
        <rFont val="Calibri"/>
        <family val="2"/>
        <scheme val="minor"/>
      </rPr>
      <t>0</t>
    </r>
    <r>
      <rPr>
        <b/>
        <sz val="11"/>
        <color theme="1"/>
        <rFont val="Calibri"/>
        <family val="2"/>
        <scheme val="minor"/>
      </rPr>
      <t xml:space="preserve"> x </t>
    </r>
    <r>
      <rPr>
        <b/>
        <sz val="11"/>
        <color theme="1"/>
        <rFont val="Calibri"/>
        <family val="2"/>
      </rPr>
      <t>[0,2 x (0,10 + 0,9 x Fra) + (1 - 0,2) x (0,10 + 0,90 x Fri)]</t>
    </r>
  </si>
  <si>
    <t>A los efectos del cálculo, todos los valores o índices provenientes de tablas de fuente externa se considerarán con cuatro dígitos significativos, redondeando simétricamente al último dígito significativo.</t>
  </si>
  <si>
    <t>Carpintería</t>
  </si>
  <si>
    <t>Cuadro 1.5 Item Instalación eléctrica</t>
  </si>
  <si>
    <t>IPIB Mayor desag. 2520 36.320-1 Caños y tubos de PVC - Anexo INDEC</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</si>
</sst>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3" formatCode="_-* #,##0.00_-;\-* #,##0.00_-;_-* &quot;-&quot;??_-;_-@_-"/>
    <numFmt numFmtId="164" formatCode="_-&quot;$&quot;\ * #,##0.00_-;\-&quot;$&quot;\ * #,##0.00_-;_-&quot;$&quot;\ * &quot;-&quot;??_-;_-@_-"/>
    <numFmt numFmtId="165" formatCode="_ &quot;$&quot;\ * #,##0.00_ ;_ &quot;$&quot;\ * \-#,##0.00_ ;_ &quot;$&quot;\ * &quot;-&quot;??_ ;_ @_ "/>
    <numFmt numFmtId="166" formatCode="_ * #,##0.00_ ;_ * \-#,##0.00_ ;_ * &quot;-&quot;??_ ;_ @_ "/>
    <numFmt numFmtId="167" formatCode="_ [$$-2C0A]\ * #,##0.00_ ;_ [$$-2C0A]\ * \-#,##0.00_ ;_ [$$-2C0A]\ * &quot;-&quot;??_ ;_ @_ "/>
    <numFmt numFmtId="168" formatCode="[$$-2C0A]\ #,##0;\-[$$-2C0A]\ #,##0"/>
    <numFmt numFmtId="169" formatCode="0.000%"/>
    <numFmt numFmtId="170" formatCode="_ [$$-2C0A]\ * #,##0.000_ ;_ [$$-2C0A]\ * \-#,##0.000_ ;_ [$$-2C0A]\ * &quot;-&quot;??_ ;_ @_ "/>
    <numFmt numFmtId="171" formatCode="[$$-2C0A]\ #,##0.00"/>
    <numFmt numFmtId="172" formatCode="[$$-2C0A]\ #,##0.00;\-[$$-2C0A]\ #,##0.00"/>
    <numFmt numFmtId="173" formatCode="0.0000"/>
    <numFmt numFmtId="174" formatCode="0.0%"/>
  </numFmts>
  <fonts count="59" x14ac:knownFonts="1">
    <font>
      <sz val="11"/>
      <color theme="1"/>
      <name val="Calibri"/>
      <family val="2"/>
      <scheme val="minor"/>
    </font>
    <font>
      <sz val="11"/>
      <color theme="1"/>
      <name val="Calibri"/>
      <family val="2"/>
      <scheme val="minor"/>
    </font>
    <font>
      <sz val="11"/>
      <color theme="1"/>
      <name val="Arial"/>
      <family val="2"/>
    </font>
    <font>
      <sz val="11"/>
      <color rgb="FFC00000"/>
      <name val="Arial"/>
      <family val="2"/>
    </font>
    <font>
      <b/>
      <sz val="14"/>
      <color theme="1"/>
      <name val="Arial"/>
      <family val="2"/>
    </font>
    <font>
      <b/>
      <sz val="12"/>
      <color theme="1"/>
      <name val="Arial"/>
      <family val="2"/>
    </font>
    <font>
      <b/>
      <u/>
      <sz val="14"/>
      <color theme="1"/>
      <name val="Arial"/>
      <family val="2"/>
    </font>
    <font>
      <b/>
      <u/>
      <sz val="14"/>
      <color rgb="FFC00000"/>
      <name val="Arial"/>
      <family val="2"/>
    </font>
    <font>
      <b/>
      <sz val="10"/>
      <color rgb="FF000000"/>
      <name val="Arial"/>
      <family val="2"/>
    </font>
    <font>
      <b/>
      <sz val="10"/>
      <color rgb="FFC00000"/>
      <name val="Arial"/>
      <family val="2"/>
    </font>
    <font>
      <b/>
      <sz val="10"/>
      <color theme="0"/>
      <name val="Arial"/>
      <family val="2"/>
    </font>
    <font>
      <sz val="10"/>
      <color rgb="FF000000"/>
      <name val="Arial"/>
      <family val="2"/>
    </font>
    <font>
      <sz val="10"/>
      <color rgb="FFC00000"/>
      <name val="Arial"/>
      <family val="2"/>
    </font>
    <font>
      <sz val="10"/>
      <color theme="1"/>
      <name val="Calibri"/>
      <family val="2"/>
      <scheme val="minor"/>
    </font>
    <font>
      <b/>
      <sz val="11"/>
      <color theme="1"/>
      <name val="Calibri"/>
      <family val="2"/>
      <scheme val="minor"/>
    </font>
    <font>
      <sz val="11"/>
      <color rgb="FFC00000"/>
      <name val="Calibri"/>
      <family val="2"/>
      <scheme val="minor"/>
    </font>
    <font>
      <sz val="11"/>
      <color theme="1"/>
      <name val="Calibri"/>
      <family val="2"/>
    </font>
    <font>
      <sz val="10"/>
      <name val="Tahoma"/>
      <family val="2"/>
    </font>
    <font>
      <sz val="9"/>
      <color indexed="10"/>
      <name val="MS Sans Serif"/>
      <family val="2"/>
    </font>
    <font>
      <sz val="9"/>
      <color rgb="FFFF0000"/>
      <name val="MS Sans Serif"/>
      <family val="2"/>
    </font>
    <font>
      <sz val="9"/>
      <color indexed="8"/>
      <name val="MS Sans Serif"/>
      <family val="2"/>
    </font>
    <font>
      <sz val="10"/>
      <color indexed="8"/>
      <name val="Arial"/>
      <family val="2"/>
    </font>
    <font>
      <sz val="10"/>
      <color theme="1"/>
      <name val="Arial"/>
      <family val="2"/>
    </font>
    <font>
      <b/>
      <sz val="10"/>
      <color indexed="10"/>
      <name val="Arial"/>
      <family val="2"/>
    </font>
    <font>
      <sz val="10"/>
      <name val="Arial"/>
      <family val="2"/>
    </font>
    <font>
      <sz val="9"/>
      <color theme="1"/>
      <name val="MS Sans Serif"/>
      <family val="2"/>
    </font>
    <font>
      <sz val="10"/>
      <color indexed="10"/>
      <name val="Arial"/>
      <family val="2"/>
    </font>
    <font>
      <sz val="10"/>
      <color rgb="FFFF0000"/>
      <name val="Arial"/>
      <family val="2"/>
    </font>
    <font>
      <b/>
      <sz val="9"/>
      <color indexed="81"/>
      <name val="Tahoma"/>
      <family val="2"/>
    </font>
    <font>
      <sz val="9"/>
      <color indexed="81"/>
      <name val="Tahoma"/>
      <family val="2"/>
    </font>
    <font>
      <sz val="11"/>
      <color theme="0"/>
      <name val="Calibri"/>
      <family val="2"/>
      <scheme val="minor"/>
    </font>
    <font>
      <sz val="10"/>
      <color theme="0"/>
      <name val="Arial"/>
      <family val="2"/>
    </font>
    <font>
      <b/>
      <sz val="14"/>
      <color rgb="FF000000"/>
      <name val="Arial"/>
      <family val="2"/>
    </font>
    <font>
      <b/>
      <sz val="9"/>
      <color theme="0"/>
      <name val="MS Sans Serif"/>
      <family val="2"/>
    </font>
    <font>
      <sz val="9"/>
      <color theme="0"/>
      <name val="MS Sans Serif"/>
      <family val="2"/>
    </font>
    <font>
      <sz val="10"/>
      <color rgb="FF000000"/>
      <name val="Calibri"/>
      <family val="2"/>
    </font>
    <font>
      <sz val="14"/>
      <color rgb="FF000000"/>
      <name val="Arial"/>
      <family val="2"/>
    </font>
    <font>
      <b/>
      <sz val="12"/>
      <color rgb="FF000000"/>
      <name val="Arial"/>
      <family val="2"/>
    </font>
    <font>
      <sz val="14"/>
      <color theme="1"/>
      <name val="Calibri"/>
      <family val="2"/>
      <scheme val="minor"/>
    </font>
    <font>
      <sz val="16"/>
      <color theme="1"/>
      <name val="Calibri"/>
      <family val="2"/>
      <scheme val="minor"/>
    </font>
    <font>
      <sz val="11"/>
      <name val="Calibri"/>
      <family val="2"/>
      <scheme val="minor"/>
    </font>
    <font>
      <u/>
      <sz val="11"/>
      <color theme="10"/>
      <name val="Calibri"/>
      <family val="2"/>
      <scheme val="minor"/>
    </font>
    <font>
      <sz val="12"/>
      <color theme="1"/>
      <name val="Arial"/>
      <family val="2"/>
    </font>
    <font>
      <b/>
      <u/>
      <sz val="11"/>
      <color theme="1"/>
      <name val="Calibri"/>
      <family val="2"/>
      <scheme val="minor"/>
    </font>
    <font>
      <b/>
      <sz val="9"/>
      <color theme="1"/>
      <name val="Calibri"/>
      <family val="2"/>
      <scheme val="minor"/>
    </font>
    <font>
      <b/>
      <sz val="7"/>
      <color theme="1"/>
      <name val="Calibri"/>
      <family val="2"/>
      <scheme val="minor"/>
    </font>
    <font>
      <b/>
      <sz val="11"/>
      <color theme="1"/>
      <name val="Calibri"/>
      <family val="2"/>
    </font>
    <font>
      <b/>
      <sz val="6"/>
      <color theme="1"/>
      <name val="Calibri"/>
      <family val="2"/>
    </font>
    <font>
      <b/>
      <sz val="7"/>
      <color theme="1"/>
      <name val="Calibri"/>
      <family val="2"/>
    </font>
    <font>
      <b/>
      <i/>
      <sz val="11"/>
      <color theme="1"/>
      <name val="Calibri"/>
      <family val="2"/>
    </font>
    <font>
      <u/>
      <sz val="10"/>
      <color theme="1"/>
      <name val="Calibri"/>
      <family val="2"/>
      <scheme val="minor"/>
    </font>
    <font>
      <sz val="7"/>
      <color theme="1"/>
      <name val="Calibri"/>
      <family val="2"/>
      <scheme val="minor"/>
    </font>
    <font>
      <i/>
      <sz val="11"/>
      <color theme="1"/>
      <name val="Calibri"/>
      <family val="2"/>
      <scheme val="minor"/>
    </font>
    <font>
      <b/>
      <sz val="14"/>
      <color theme="1"/>
      <name val="Calibri"/>
      <family val="2"/>
      <scheme val="minor"/>
    </font>
    <font>
      <b/>
      <i/>
      <sz val="11"/>
      <color theme="1"/>
      <name val="Calibri"/>
      <family val="2"/>
      <scheme val="minor"/>
    </font>
    <font>
      <b/>
      <sz val="6"/>
      <color theme="1"/>
      <name val="Calibri"/>
      <family val="2"/>
      <scheme val="minor"/>
    </font>
    <font>
      <sz val="10"/>
      <name val="Calibri"/>
      <family val="2"/>
      <scheme val="minor"/>
    </font>
    <font>
      <b/>
      <sz val="9"/>
      <color theme="1"/>
      <name val="Calibri"/>
      <family val="2"/>
    </font>
    <font>
      <sz val="12"/>
      <color rgb="FFC00000"/>
      <name val="Arial"/>
      <family val="2"/>
    </font>
  </fonts>
  <fills count="15">
    <fill>
      <patternFill patternType="none"/>
    </fill>
    <fill>
      <patternFill patternType="gray125"/>
    </fill>
    <fill>
      <patternFill patternType="solid">
        <fgColor theme="0" tint="-0.14999847407452621"/>
        <bgColor indexed="64"/>
      </patternFill>
    </fill>
    <fill>
      <patternFill patternType="solid">
        <fgColor theme="3" tint="0.59999389629810485"/>
        <bgColor indexed="64"/>
      </patternFill>
    </fill>
    <fill>
      <patternFill patternType="solid">
        <fgColor theme="0"/>
        <bgColor indexed="64"/>
      </patternFill>
    </fill>
    <fill>
      <patternFill patternType="solid">
        <fgColor theme="6" tint="0.39997558519241921"/>
        <bgColor indexed="64"/>
      </patternFill>
    </fill>
    <fill>
      <patternFill patternType="solid">
        <fgColor theme="5" tint="0.39997558519241921"/>
        <bgColor indexed="64"/>
      </patternFill>
    </fill>
    <fill>
      <patternFill patternType="solid">
        <fgColor rgb="FF92D050"/>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2"/>
        <bgColor indexed="64"/>
      </patternFill>
    </fill>
    <fill>
      <patternFill patternType="solid">
        <fgColor theme="9"/>
        <bgColor indexed="64"/>
      </patternFill>
    </fill>
    <fill>
      <patternFill patternType="solid">
        <fgColor theme="8"/>
        <bgColor indexed="64"/>
      </patternFill>
    </fill>
    <fill>
      <patternFill patternType="solid">
        <fgColor theme="3" tint="0.39997558519241921"/>
        <bgColor indexed="64"/>
      </patternFill>
    </fill>
    <fill>
      <patternFill patternType="solid">
        <fgColor rgb="FFFFFF00"/>
        <bgColor indexed="64"/>
      </patternFill>
    </fill>
  </fills>
  <borders count="100">
    <border>
      <left/>
      <right/>
      <top/>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hair">
        <color indexed="64"/>
      </right>
      <top style="hair">
        <color indexed="64"/>
      </top>
      <bottom style="thin">
        <color indexed="64"/>
      </bottom>
      <diagonal/>
    </border>
    <border>
      <left style="medium">
        <color indexed="64"/>
      </left>
      <right/>
      <top/>
      <bottom style="thin">
        <color indexed="64"/>
      </bottom>
      <diagonal/>
    </border>
    <border>
      <left style="medium">
        <color indexed="64"/>
      </left>
      <right/>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thin">
        <color indexed="64"/>
      </left>
      <right style="thin">
        <color indexed="64"/>
      </right>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bottom/>
      <diagonal/>
    </border>
    <border>
      <left/>
      <right style="thin">
        <color indexed="64"/>
      </right>
      <top/>
      <bottom style="hair">
        <color indexed="64"/>
      </bottom>
      <diagonal/>
    </border>
    <border>
      <left style="thin">
        <color indexed="64"/>
      </left>
      <right/>
      <top style="hair">
        <color indexed="64"/>
      </top>
      <bottom/>
      <diagonal/>
    </border>
    <border>
      <left style="thin">
        <color indexed="64"/>
      </left>
      <right style="hair">
        <color indexed="64"/>
      </right>
      <top/>
      <bottom style="hair">
        <color indexed="64"/>
      </bottom>
      <diagonal/>
    </border>
    <border>
      <left style="medium">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medium">
        <color indexed="64"/>
      </left>
      <right style="thin">
        <color indexed="64"/>
      </right>
      <top/>
      <bottom style="hair">
        <color indexed="64"/>
      </bottom>
      <diagonal/>
    </border>
    <border>
      <left style="medium">
        <color indexed="64"/>
      </left>
      <right style="thin">
        <color indexed="64"/>
      </right>
      <top/>
      <bottom/>
      <diagonal/>
    </border>
    <border>
      <left style="medium">
        <color indexed="64"/>
      </left>
      <right style="medium">
        <color indexed="64"/>
      </right>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7">
    <xf numFmtId="0" fontId="0" fillId="0" borderId="0"/>
    <xf numFmtId="43"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17" fillId="0" borderId="0"/>
    <xf numFmtId="9" fontId="24" fillId="0" borderId="0" applyFont="0" applyFill="0" applyBorder="0" applyAlignment="0" applyProtection="0"/>
    <xf numFmtId="0" fontId="41" fillId="0" borderId="0" applyNumberFormat="0" applyFill="0" applyBorder="0" applyAlignment="0" applyProtection="0"/>
  </cellStyleXfs>
  <cellXfs count="519">
    <xf numFmtId="0" fontId="0" fillId="0" borderId="0" xfId="0"/>
    <xf numFmtId="167" fontId="2" fillId="0" borderId="0" xfId="2" applyNumberFormat="1" applyFont="1" applyBorder="1"/>
    <xf numFmtId="2" fontId="3" fillId="0" borderId="0" xfId="2" applyNumberFormat="1" applyFont="1" applyBorder="1"/>
    <xf numFmtId="164" fontId="2" fillId="0" borderId="0" xfId="2" applyFont="1" applyBorder="1"/>
    <xf numFmtId="0" fontId="0" fillId="0" borderId="0" xfId="0" applyBorder="1"/>
    <xf numFmtId="0" fontId="10" fillId="4" borderId="0" xfId="0" applyFont="1" applyFill="1" applyBorder="1" applyAlignment="1">
      <alignment horizontal="center" vertical="center" wrapText="1"/>
    </xf>
    <xf numFmtId="0" fontId="10" fillId="4" borderId="0" xfId="0" applyFont="1" applyFill="1" applyBorder="1" applyAlignment="1">
      <alignment horizontal="left" vertical="center" wrapText="1"/>
    </xf>
    <xf numFmtId="0" fontId="0" fillId="0" borderId="0" xfId="0" applyFill="1" applyBorder="1"/>
    <xf numFmtId="168" fontId="8" fillId="2" borderId="4" xfId="2" applyNumberFormat="1" applyFont="1" applyFill="1" applyBorder="1" applyAlignment="1">
      <alignment horizontal="center" vertical="center" wrapText="1"/>
    </xf>
    <xf numFmtId="167" fontId="2" fillId="0" borderId="6" xfId="2" applyNumberFormat="1" applyFont="1" applyBorder="1"/>
    <xf numFmtId="2" fontId="3" fillId="0" borderId="6" xfId="2" applyNumberFormat="1" applyFont="1" applyBorder="1"/>
    <xf numFmtId="164" fontId="2" fillId="0" borderId="6" xfId="2" applyFont="1" applyBorder="1"/>
    <xf numFmtId="0" fontId="2" fillId="0" borderId="7" xfId="0" applyFont="1" applyBorder="1"/>
    <xf numFmtId="0" fontId="4" fillId="0" borderId="21" xfId="0" applyFont="1" applyBorder="1" applyAlignment="1">
      <alignment horizontal="center"/>
    </xf>
    <xf numFmtId="0" fontId="2" fillId="0" borderId="22" xfId="0" applyFont="1" applyBorder="1"/>
    <xf numFmtId="0" fontId="0" fillId="0" borderId="0" xfId="0" applyFill="1"/>
    <xf numFmtId="165" fontId="8" fillId="2" borderId="13" xfId="0" applyNumberFormat="1" applyFont="1" applyFill="1" applyBorder="1" applyAlignment="1">
      <alignment horizontal="left" vertical="center" indent="1"/>
    </xf>
    <xf numFmtId="3" fontId="11" fillId="8" borderId="14" xfId="0" applyNumberFormat="1" applyFont="1" applyFill="1" applyBorder="1" applyAlignment="1">
      <alignment horizontal="center" vertical="center"/>
    </xf>
    <xf numFmtId="168" fontId="11" fillId="9" borderId="15" xfId="2" applyNumberFormat="1" applyFont="1" applyFill="1" applyBorder="1" applyAlignment="1">
      <alignment vertical="center"/>
    </xf>
    <xf numFmtId="2" fontId="12" fillId="9" borderId="14" xfId="1" applyNumberFormat="1" applyFont="1" applyFill="1" applyBorder="1" applyAlignment="1">
      <alignment vertical="center"/>
    </xf>
    <xf numFmtId="170" fontId="11" fillId="4" borderId="14" xfId="1" applyNumberFormat="1" applyFont="1" applyFill="1" applyBorder="1" applyAlignment="1">
      <alignment vertical="center"/>
    </xf>
    <xf numFmtId="0" fontId="0" fillId="5" borderId="0" xfId="0" applyFill="1"/>
    <xf numFmtId="0" fontId="0" fillId="3" borderId="0" xfId="0" applyFill="1"/>
    <xf numFmtId="0" fontId="0" fillId="3" borderId="0" xfId="0" applyFill="1" applyAlignment="1">
      <alignment horizontal="right"/>
    </xf>
    <xf numFmtId="3" fontId="11" fillId="8" borderId="16" xfId="0" applyNumberFormat="1" applyFont="1" applyFill="1" applyBorder="1" applyAlignment="1">
      <alignment horizontal="center" vertical="center"/>
    </xf>
    <xf numFmtId="168" fontId="11" fillId="9" borderId="17" xfId="2" applyNumberFormat="1" applyFont="1" applyFill="1" applyBorder="1" applyAlignment="1">
      <alignment vertical="center"/>
    </xf>
    <xf numFmtId="0" fontId="13" fillId="3" borderId="0" xfId="0" applyFont="1" applyFill="1"/>
    <xf numFmtId="171" fontId="11" fillId="9" borderId="25" xfId="2" applyNumberFormat="1" applyFont="1" applyFill="1" applyBorder="1" applyAlignment="1">
      <alignment vertical="center"/>
    </xf>
    <xf numFmtId="3" fontId="11" fillId="8" borderId="26" xfId="0" applyNumberFormat="1" applyFont="1" applyFill="1" applyBorder="1" applyAlignment="1">
      <alignment horizontal="center" vertical="center"/>
    </xf>
    <xf numFmtId="172" fontId="11" fillId="9" borderId="27" xfId="2" applyNumberFormat="1" applyFont="1" applyFill="1" applyBorder="1" applyAlignment="1">
      <alignment vertical="center"/>
    </xf>
    <xf numFmtId="171" fontId="11" fillId="9" borderId="27" xfId="2" applyNumberFormat="1" applyFont="1" applyFill="1" applyBorder="1" applyAlignment="1">
      <alignment vertical="center"/>
    </xf>
    <xf numFmtId="171" fontId="11" fillId="9" borderId="17" xfId="2" applyNumberFormat="1" applyFont="1" applyFill="1" applyBorder="1" applyAlignment="1">
      <alignment vertical="center"/>
    </xf>
    <xf numFmtId="2" fontId="12" fillId="9" borderId="16" xfId="1" applyNumberFormat="1" applyFont="1" applyFill="1" applyBorder="1" applyAlignment="1">
      <alignment vertical="center"/>
    </xf>
    <xf numFmtId="164" fontId="11" fillId="0" borderId="16" xfId="2" applyFont="1" applyBorder="1" applyAlignment="1">
      <alignment vertical="center"/>
    </xf>
    <xf numFmtId="171" fontId="11" fillId="9" borderId="15" xfId="2" applyNumberFormat="1" applyFont="1" applyFill="1" applyBorder="1" applyAlignment="1">
      <alignment vertical="center"/>
    </xf>
    <xf numFmtId="0" fontId="11" fillId="0" borderId="0" xfId="0" applyFont="1" applyFill="1" applyBorder="1" applyAlignment="1">
      <alignment horizontal="left" vertical="center" wrapText="1"/>
    </xf>
    <xf numFmtId="0" fontId="0" fillId="0" borderId="0" xfId="0" applyAlignment="1">
      <alignment horizontal="center"/>
    </xf>
    <xf numFmtId="0" fontId="0" fillId="0" borderId="0" xfId="0" applyAlignment="1">
      <alignment horizontal="left" wrapText="1"/>
    </xf>
    <xf numFmtId="167" fontId="0" fillId="0" borderId="0" xfId="2" applyNumberFormat="1" applyFont="1"/>
    <xf numFmtId="2" fontId="15" fillId="0" borderId="0" xfId="2" applyNumberFormat="1" applyFont="1"/>
    <xf numFmtId="164" fontId="0" fillId="0" borderId="0" xfId="2" applyFont="1"/>
    <xf numFmtId="0" fontId="0" fillId="0" borderId="8" xfId="0" applyBorder="1"/>
    <xf numFmtId="164" fontId="0" fillId="0" borderId="4" xfId="2" applyFont="1" applyBorder="1" applyAlignment="1">
      <alignment horizontal="center"/>
    </xf>
    <xf numFmtId="2" fontId="15" fillId="0" borderId="4" xfId="2" applyNumberFormat="1" applyFont="1" applyBorder="1" applyAlignment="1">
      <alignment horizontal="center"/>
    </xf>
    <xf numFmtId="164" fontId="0" fillId="0" borderId="0" xfId="2" applyFont="1" applyAlignment="1">
      <alignment horizontal="center"/>
    </xf>
    <xf numFmtId="2" fontId="15" fillId="0" borderId="0" xfId="2" applyNumberFormat="1" applyFont="1" applyAlignment="1">
      <alignment horizontal="center"/>
    </xf>
    <xf numFmtId="164" fontId="0" fillId="0" borderId="0" xfId="2" applyFont="1" applyAlignment="1">
      <alignment vertical="center"/>
    </xf>
    <xf numFmtId="0" fontId="0" fillId="0" borderId="4" xfId="0" applyBorder="1" applyAlignment="1">
      <alignment horizontal="left" wrapText="1"/>
    </xf>
    <xf numFmtId="0" fontId="0" fillId="0" borderId="4" xfId="0" applyBorder="1" applyAlignment="1">
      <alignment horizontal="center"/>
    </xf>
    <xf numFmtId="0" fontId="0" fillId="0" borderId="4" xfId="0" applyBorder="1"/>
    <xf numFmtId="164" fontId="0" fillId="0" borderId="5" xfId="2" applyFont="1" applyBorder="1" applyAlignment="1">
      <alignment vertical="center"/>
    </xf>
    <xf numFmtId="3" fontId="11" fillId="8" borderId="30" xfId="0" applyNumberFormat="1" applyFont="1" applyFill="1" applyBorder="1" applyAlignment="1">
      <alignment horizontal="center" vertical="center"/>
    </xf>
    <xf numFmtId="0" fontId="11" fillId="0" borderId="0" xfId="0" applyFont="1" applyBorder="1" applyAlignment="1">
      <alignment horizontal="center" vertical="center"/>
    </xf>
    <xf numFmtId="2" fontId="12" fillId="9" borderId="28" xfId="1" applyNumberFormat="1" applyFont="1" applyFill="1" applyBorder="1" applyAlignment="1">
      <alignment vertical="center"/>
    </xf>
    <xf numFmtId="0" fontId="8" fillId="2" borderId="8" xfId="0" applyFont="1" applyFill="1" applyBorder="1" applyAlignment="1">
      <alignment horizontal="center" vertical="center" wrapText="1"/>
    </xf>
    <xf numFmtId="0" fontId="11" fillId="0" borderId="30" xfId="0" applyFont="1" applyFill="1" applyBorder="1" applyAlignment="1">
      <alignment vertical="center" wrapText="1"/>
    </xf>
    <xf numFmtId="0" fontId="0" fillId="5" borderId="0" xfId="0" applyFill="1" applyAlignment="1">
      <alignment wrapText="1"/>
    </xf>
    <xf numFmtId="0" fontId="0" fillId="6" borderId="0" xfId="0" applyFill="1"/>
    <xf numFmtId="10" fontId="0" fillId="6" borderId="0" xfId="3" applyNumberFormat="1" applyFont="1" applyFill="1"/>
    <xf numFmtId="165" fontId="0" fillId="0" borderId="0" xfId="2" applyNumberFormat="1" applyFont="1"/>
    <xf numFmtId="0" fontId="0" fillId="0" borderId="20" xfId="0" applyBorder="1"/>
    <xf numFmtId="0" fontId="0" fillId="0" borderId="6" xfId="0" applyBorder="1"/>
    <xf numFmtId="167" fontId="0" fillId="0" borderId="7" xfId="2" applyNumberFormat="1" applyFont="1" applyBorder="1"/>
    <xf numFmtId="0" fontId="0" fillId="0" borderId="21" xfId="0" applyBorder="1"/>
    <xf numFmtId="165" fontId="0" fillId="0" borderId="0" xfId="2" applyNumberFormat="1" applyFont="1" applyBorder="1"/>
    <xf numFmtId="167" fontId="0" fillId="0" borderId="22" xfId="2" applyNumberFormat="1" applyFont="1" applyBorder="1"/>
    <xf numFmtId="0" fontId="0" fillId="0" borderId="23" xfId="0" applyBorder="1"/>
    <xf numFmtId="0" fontId="0" fillId="0" borderId="9" xfId="0" applyBorder="1"/>
    <xf numFmtId="165" fontId="0" fillId="0" borderId="9" xfId="2" applyNumberFormat="1" applyFont="1" applyBorder="1"/>
    <xf numFmtId="167" fontId="0" fillId="0" borderId="10" xfId="2" applyNumberFormat="1" applyFont="1" applyBorder="1"/>
    <xf numFmtId="0" fontId="0" fillId="0" borderId="3" xfId="0" applyBorder="1"/>
    <xf numFmtId="0" fontId="0" fillId="0" borderId="12" xfId="0" applyBorder="1"/>
    <xf numFmtId="0" fontId="0" fillId="0" borderId="11" xfId="0" applyBorder="1"/>
    <xf numFmtId="165" fontId="0" fillId="0" borderId="11" xfId="2" applyNumberFormat="1" applyFont="1" applyBorder="1"/>
    <xf numFmtId="167" fontId="0" fillId="0" borderId="13" xfId="2" applyNumberFormat="1" applyFont="1" applyBorder="1"/>
    <xf numFmtId="0" fontId="0" fillId="0" borderId="33" xfId="0" applyBorder="1"/>
    <xf numFmtId="0" fontId="0" fillId="0" borderId="19" xfId="0" applyBorder="1"/>
    <xf numFmtId="0" fontId="0" fillId="0" borderId="28" xfId="0" applyBorder="1"/>
    <xf numFmtId="165" fontId="0" fillId="0" borderId="28" xfId="2" applyNumberFormat="1" applyFont="1" applyBorder="1"/>
    <xf numFmtId="2" fontId="0" fillId="0" borderId="28" xfId="0" applyNumberFormat="1" applyBorder="1"/>
    <xf numFmtId="165" fontId="0" fillId="0" borderId="28" xfId="0" applyNumberFormat="1" applyBorder="1"/>
    <xf numFmtId="167" fontId="0" fillId="0" borderId="34" xfId="2" applyNumberFormat="1" applyFont="1" applyBorder="1"/>
    <xf numFmtId="0" fontId="0" fillId="0" borderId="35" xfId="0" applyBorder="1"/>
    <xf numFmtId="0" fontId="0" fillId="0" borderId="36" xfId="0" applyBorder="1"/>
    <xf numFmtId="0" fontId="0" fillId="0" borderId="32" xfId="0" applyBorder="1"/>
    <xf numFmtId="165" fontId="0" fillId="0" borderId="32" xfId="2" applyNumberFormat="1" applyFont="1" applyBorder="1"/>
    <xf numFmtId="2" fontId="0" fillId="0" borderId="32" xfId="0" applyNumberFormat="1" applyBorder="1"/>
    <xf numFmtId="165" fontId="0" fillId="0" borderId="32" xfId="0" applyNumberFormat="1" applyBorder="1"/>
    <xf numFmtId="167" fontId="0" fillId="0" borderId="37" xfId="2" applyNumberFormat="1" applyFont="1" applyBorder="1"/>
    <xf numFmtId="0" fontId="0" fillId="0" borderId="38" xfId="0" applyBorder="1"/>
    <xf numFmtId="0" fontId="0" fillId="0" borderId="39" xfId="0" applyBorder="1"/>
    <xf numFmtId="0" fontId="0" fillId="0" borderId="40" xfId="0" applyBorder="1"/>
    <xf numFmtId="165" fontId="0" fillId="0" borderId="40" xfId="2" applyNumberFormat="1" applyFont="1" applyBorder="1"/>
    <xf numFmtId="2" fontId="0" fillId="0" borderId="40" xfId="0" applyNumberFormat="1" applyBorder="1"/>
    <xf numFmtId="165" fontId="0" fillId="0" borderId="40" xfId="0" applyNumberFormat="1" applyBorder="1"/>
    <xf numFmtId="167" fontId="0" fillId="0" borderId="41" xfId="2" applyNumberFormat="1" applyFont="1" applyBorder="1"/>
    <xf numFmtId="165" fontId="0" fillId="0" borderId="3" xfId="2" applyNumberFormat="1" applyFont="1" applyBorder="1"/>
    <xf numFmtId="0" fontId="20" fillId="0" borderId="21" xfId="4" applyFont="1" applyBorder="1" applyAlignment="1">
      <alignment horizontal="center"/>
    </xf>
    <xf numFmtId="0" fontId="21" fillId="0" borderId="0" xfId="4" applyFont="1" applyBorder="1"/>
    <xf numFmtId="0" fontId="21" fillId="4" borderId="45" xfId="4" applyFont="1" applyFill="1" applyBorder="1" applyAlignment="1">
      <alignment horizontal="center"/>
    </xf>
    <xf numFmtId="165" fontId="22" fillId="4" borderId="32" xfId="2" applyNumberFormat="1" applyFont="1" applyFill="1" applyBorder="1"/>
    <xf numFmtId="0" fontId="21" fillId="4" borderId="32" xfId="4" applyFont="1" applyFill="1" applyBorder="1" applyAlignment="1">
      <alignment horizontal="center"/>
    </xf>
    <xf numFmtId="0" fontId="22" fillId="4" borderId="32" xfId="4" applyFont="1" applyFill="1" applyBorder="1" applyAlignment="1">
      <alignment horizontal="center"/>
    </xf>
    <xf numFmtId="0" fontId="23" fillId="0" borderId="0" xfId="4" applyFont="1"/>
    <xf numFmtId="0" fontId="18" fillId="0" borderId="21" xfId="4" applyFont="1" applyBorder="1" applyAlignment="1">
      <alignment horizontal="center"/>
    </xf>
    <xf numFmtId="0" fontId="18" fillId="0" borderId="0" xfId="4" applyFont="1" applyBorder="1"/>
    <xf numFmtId="0" fontId="18" fillId="4" borderId="0" xfId="4" applyFont="1" applyFill="1" applyBorder="1" applyAlignment="1">
      <alignment horizontal="center"/>
    </xf>
    <xf numFmtId="165" fontId="19" fillId="4" borderId="0" xfId="2" applyNumberFormat="1" applyFont="1" applyFill="1" applyBorder="1" applyAlignment="1">
      <alignment horizontal="right"/>
    </xf>
    <xf numFmtId="0" fontId="19" fillId="4" borderId="0" xfId="4" applyFont="1" applyFill="1" applyBorder="1" applyAlignment="1">
      <alignment horizontal="center"/>
    </xf>
    <xf numFmtId="167" fontId="21" fillId="4" borderId="22" xfId="2" applyNumberFormat="1" applyFont="1" applyFill="1" applyBorder="1"/>
    <xf numFmtId="0" fontId="20" fillId="0" borderId="20" xfId="4" applyFont="1" applyBorder="1" applyAlignment="1">
      <alignment horizontal="center"/>
    </xf>
    <xf numFmtId="0" fontId="21" fillId="0" borderId="6" xfId="4" applyFont="1" applyBorder="1"/>
    <xf numFmtId="0" fontId="21" fillId="4" borderId="43" xfId="4" applyFont="1" applyFill="1" applyBorder="1" applyAlignment="1">
      <alignment horizontal="center"/>
    </xf>
    <xf numFmtId="165" fontId="22" fillId="4" borderId="44" xfId="2" applyNumberFormat="1" applyFont="1" applyFill="1" applyBorder="1"/>
    <xf numFmtId="0" fontId="21" fillId="4" borderId="44" xfId="4" applyFont="1" applyFill="1" applyBorder="1" applyAlignment="1">
      <alignment horizontal="center"/>
    </xf>
    <xf numFmtId="0" fontId="22" fillId="4" borderId="44" xfId="4" applyFont="1" applyFill="1" applyBorder="1" applyAlignment="1">
      <alignment horizontal="center"/>
    </xf>
    <xf numFmtId="167" fontId="21" fillId="4" borderId="47" xfId="2" applyNumberFormat="1" applyFont="1" applyFill="1" applyBorder="1"/>
    <xf numFmtId="0" fontId="20" fillId="0" borderId="21" xfId="4" applyFont="1" applyFill="1" applyBorder="1" applyAlignment="1">
      <alignment horizontal="center"/>
    </xf>
    <xf numFmtId="0" fontId="21" fillId="0" borderId="9" xfId="4" applyFont="1" applyBorder="1"/>
    <xf numFmtId="0" fontId="21" fillId="4" borderId="46" xfId="4" applyFont="1" applyFill="1" applyBorder="1" applyAlignment="1">
      <alignment horizontal="center"/>
    </xf>
    <xf numFmtId="165" fontId="22" fillId="4" borderId="40" xfId="2" applyNumberFormat="1" applyFont="1" applyFill="1" applyBorder="1"/>
    <xf numFmtId="0" fontId="21" fillId="4" borderId="40" xfId="4" applyFont="1" applyFill="1" applyBorder="1" applyAlignment="1">
      <alignment horizontal="center"/>
    </xf>
    <xf numFmtId="0" fontId="22" fillId="4" borderId="40" xfId="4" applyFont="1" applyFill="1" applyBorder="1" applyAlignment="1">
      <alignment horizontal="center"/>
    </xf>
    <xf numFmtId="0" fontId="18" fillId="0" borderId="0" xfId="4" applyFont="1" applyFill="1" applyBorder="1" applyAlignment="1">
      <alignment horizontal="center"/>
    </xf>
    <xf numFmtId="165" fontId="19" fillId="0" borderId="0" xfId="2" applyNumberFormat="1" applyFont="1" applyFill="1" applyBorder="1" applyAlignment="1">
      <alignment horizontal="right"/>
    </xf>
    <xf numFmtId="0" fontId="19" fillId="0" borderId="0" xfId="4" applyFont="1" applyFill="1" applyBorder="1" applyAlignment="1">
      <alignment horizontal="center"/>
    </xf>
    <xf numFmtId="167" fontId="21" fillId="0" borderId="22" xfId="2" applyNumberFormat="1" applyFont="1" applyFill="1" applyBorder="1"/>
    <xf numFmtId="165" fontId="0" fillId="0" borderId="0" xfId="2" applyNumberFormat="1" applyFont="1" applyFill="1" applyBorder="1"/>
    <xf numFmtId="166" fontId="17" fillId="0" borderId="0" xfId="4" applyNumberFormat="1"/>
    <xf numFmtId="0" fontId="17" fillId="0" borderId="0" xfId="4"/>
    <xf numFmtId="0" fontId="13" fillId="0" borderId="0" xfId="0" applyFont="1" applyFill="1" applyBorder="1" applyAlignment="1">
      <alignment horizontal="center"/>
    </xf>
    <xf numFmtId="0" fontId="20" fillId="0" borderId="23" xfId="4" applyFont="1" applyBorder="1" applyAlignment="1">
      <alignment horizontal="center"/>
    </xf>
    <xf numFmtId="0" fontId="18" fillId="0" borderId="0" xfId="4" applyFont="1" applyFill="1" applyBorder="1"/>
    <xf numFmtId="0" fontId="17" fillId="0" borderId="0" xfId="4" applyFill="1"/>
    <xf numFmtId="0" fontId="18" fillId="0" borderId="21" xfId="4" applyFont="1" applyFill="1" applyBorder="1" applyAlignment="1">
      <alignment horizontal="center"/>
    </xf>
    <xf numFmtId="0" fontId="21" fillId="0" borderId="0" xfId="4" applyFont="1"/>
    <xf numFmtId="0" fontId="20" fillId="0" borderId="0" xfId="4" applyFont="1" applyBorder="1"/>
    <xf numFmtId="0" fontId="25" fillId="0" borderId="0" xfId="4" applyFont="1" applyFill="1" applyBorder="1" applyAlignment="1">
      <alignment horizontal="center"/>
    </xf>
    <xf numFmtId="165" fontId="22" fillId="0" borderId="0" xfId="2" applyNumberFormat="1" applyFont="1" applyFill="1" applyBorder="1"/>
    <xf numFmtId="0" fontId="21" fillId="0" borderId="22" xfId="4" applyFont="1" applyBorder="1"/>
    <xf numFmtId="0" fontId="26" fillId="0" borderId="0" xfId="4" applyFont="1" applyFill="1" applyBorder="1" applyAlignment="1">
      <alignment horizontal="center"/>
    </xf>
    <xf numFmtId="165" fontId="27" fillId="0" borderId="0" xfId="2" applyNumberFormat="1" applyFont="1" applyFill="1" applyBorder="1"/>
    <xf numFmtId="0" fontId="26" fillId="0" borderId="0" xfId="4" applyFont="1"/>
    <xf numFmtId="0" fontId="21" fillId="0" borderId="7" xfId="4" applyFont="1" applyBorder="1"/>
    <xf numFmtId="0" fontId="21" fillId="4" borderId="48" xfId="4" applyFont="1" applyFill="1" applyBorder="1" applyAlignment="1">
      <alignment horizontal="center"/>
    </xf>
    <xf numFmtId="165" fontId="22" fillId="4" borderId="49" xfId="2" applyNumberFormat="1" applyFont="1" applyFill="1" applyBorder="1"/>
    <xf numFmtId="0" fontId="21" fillId="4" borderId="49" xfId="4" applyFont="1" applyFill="1" applyBorder="1" applyAlignment="1">
      <alignment horizontal="center"/>
    </xf>
    <xf numFmtId="0" fontId="22" fillId="4" borderId="49" xfId="4" applyFont="1" applyFill="1" applyBorder="1" applyAlignment="1">
      <alignment horizontal="center"/>
    </xf>
    <xf numFmtId="0" fontId="21" fillId="0" borderId="0" xfId="4" applyFont="1" applyFill="1" applyBorder="1" applyAlignment="1">
      <alignment horizontal="center"/>
    </xf>
    <xf numFmtId="0" fontId="20" fillId="0" borderId="0" xfId="4" applyFont="1" applyFill="1" applyBorder="1" applyAlignment="1">
      <alignment horizontal="center"/>
    </xf>
    <xf numFmtId="167" fontId="21" fillId="0" borderId="7" xfId="4" applyNumberFormat="1" applyFont="1" applyBorder="1"/>
    <xf numFmtId="1" fontId="18" fillId="0" borderId="21" xfId="4" applyNumberFormat="1" applyFont="1" applyBorder="1" applyAlignment="1">
      <alignment horizontal="center"/>
    </xf>
    <xf numFmtId="167" fontId="18" fillId="0" borderId="22" xfId="2" applyNumberFormat="1" applyFont="1" applyFill="1" applyBorder="1"/>
    <xf numFmtId="0" fontId="8" fillId="2" borderId="5" xfId="0" applyFont="1" applyFill="1" applyBorder="1" applyAlignment="1">
      <alignment horizontal="left" vertical="center" wrapText="1"/>
    </xf>
    <xf numFmtId="0" fontId="0" fillId="0" borderId="4" xfId="0" applyBorder="1" applyAlignment="1">
      <alignment wrapText="1"/>
    </xf>
    <xf numFmtId="0" fontId="16" fillId="0" borderId="31" xfId="0" applyFont="1" applyFill="1" applyBorder="1" applyAlignment="1"/>
    <xf numFmtId="0" fontId="11" fillId="0" borderId="50" xfId="0" applyFont="1" applyFill="1" applyBorder="1" applyAlignment="1">
      <alignment horizontal="left" vertical="center" wrapText="1"/>
    </xf>
    <xf numFmtId="0" fontId="11" fillId="0" borderId="26" xfId="0" applyFont="1" applyFill="1" applyBorder="1" applyAlignment="1">
      <alignment horizontal="left" vertical="center" wrapText="1"/>
    </xf>
    <xf numFmtId="0" fontId="11" fillId="0" borderId="16" xfId="0" applyFont="1" applyFill="1" applyBorder="1" applyAlignment="1">
      <alignment horizontal="left" vertical="center" wrapText="1"/>
    </xf>
    <xf numFmtId="0" fontId="11" fillId="0" borderId="30" xfId="0" applyFont="1" applyFill="1" applyBorder="1" applyAlignment="1">
      <alignment horizontal="left" vertical="center" wrapText="1"/>
    </xf>
    <xf numFmtId="0" fontId="16" fillId="0" borderId="52" xfId="0" applyFont="1" applyFill="1" applyBorder="1" applyAlignment="1"/>
    <xf numFmtId="0" fontId="14" fillId="0" borderId="0" xfId="0" applyFont="1"/>
    <xf numFmtId="3" fontId="11" fillId="8" borderId="27" xfId="0" applyNumberFormat="1" applyFont="1" applyFill="1" applyBorder="1" applyAlignment="1">
      <alignment horizontal="center" vertical="center"/>
    </xf>
    <xf numFmtId="164" fontId="0" fillId="0" borderId="0" xfId="0" applyNumberFormat="1"/>
    <xf numFmtId="10" fontId="14" fillId="0" borderId="0" xfId="0" applyNumberFormat="1" applyFont="1"/>
    <xf numFmtId="0" fontId="30" fillId="0" borderId="0" xfId="0" applyFont="1" applyAlignment="1">
      <alignment horizontal="left"/>
    </xf>
    <xf numFmtId="0" fontId="30" fillId="0" borderId="0" xfId="0" applyFont="1" applyBorder="1" applyAlignment="1">
      <alignment horizontal="left"/>
    </xf>
    <xf numFmtId="0" fontId="30" fillId="0" borderId="0" xfId="0" applyFont="1" applyFill="1" applyBorder="1" applyAlignment="1">
      <alignment horizontal="left"/>
    </xf>
    <xf numFmtId="169" fontId="30" fillId="0" borderId="0" xfId="3" applyNumberFormat="1" applyFont="1" applyFill="1" applyAlignment="1" applyProtection="1">
      <alignment horizontal="left"/>
    </xf>
    <xf numFmtId="9" fontId="31" fillId="0" borderId="0" xfId="3" applyFont="1" applyFill="1" applyBorder="1" applyAlignment="1">
      <alignment horizontal="left" vertical="center"/>
    </xf>
    <xf numFmtId="0" fontId="30" fillId="0" borderId="0" xfId="0" applyFont="1" applyFill="1" applyAlignment="1">
      <alignment horizontal="left"/>
    </xf>
    <xf numFmtId="167" fontId="31" fillId="0" borderId="0" xfId="0" applyNumberFormat="1" applyFont="1" applyFill="1" applyBorder="1" applyAlignment="1">
      <alignment horizontal="left" vertical="center"/>
    </xf>
    <xf numFmtId="43" fontId="10" fillId="0" borderId="0" xfId="1" applyFont="1" applyFill="1" applyBorder="1" applyAlignment="1">
      <alignment horizontal="left" vertical="center"/>
    </xf>
    <xf numFmtId="9" fontId="30" fillId="0" borderId="0" xfId="0" applyNumberFormat="1" applyFont="1" applyAlignment="1">
      <alignment horizontal="left"/>
    </xf>
    <xf numFmtId="0" fontId="5" fillId="0" borderId="20" xfId="0" applyFont="1" applyBorder="1" applyAlignment="1">
      <alignment horizontal="center"/>
    </xf>
    <xf numFmtId="0" fontId="6" fillId="0" borderId="23" xfId="0" applyFont="1" applyBorder="1" applyAlignment="1">
      <alignment horizontal="center" vertical="center"/>
    </xf>
    <xf numFmtId="0" fontId="6" fillId="0" borderId="9" xfId="0" applyFont="1" applyBorder="1" applyAlignment="1">
      <alignment horizontal="center" vertical="center"/>
    </xf>
    <xf numFmtId="2" fontId="7" fillId="0" borderId="9" xfId="0" applyNumberFormat="1" applyFont="1" applyBorder="1" applyAlignment="1">
      <alignment horizontal="center" vertical="center"/>
    </xf>
    <xf numFmtId="0" fontId="6" fillId="0" borderId="10" xfId="0" applyFont="1" applyBorder="1" applyAlignment="1">
      <alignment horizontal="center" vertical="center"/>
    </xf>
    <xf numFmtId="0" fontId="11" fillId="0" borderId="54" xfId="0" applyFont="1" applyBorder="1" applyAlignment="1">
      <alignment horizontal="center" vertical="center"/>
    </xf>
    <xf numFmtId="167" fontId="11" fillId="0" borderId="55" xfId="0" applyNumberFormat="1" applyFont="1" applyBorder="1" applyAlignment="1">
      <alignment vertical="center"/>
    </xf>
    <xf numFmtId="167" fontId="11" fillId="0" borderId="56" xfId="0" applyNumberFormat="1" applyFont="1" applyBorder="1" applyAlignment="1">
      <alignment vertical="center"/>
    </xf>
    <xf numFmtId="167" fontId="11" fillId="0" borderId="57" xfId="0" applyNumberFormat="1" applyFont="1" applyBorder="1" applyAlignment="1">
      <alignment vertical="center"/>
    </xf>
    <xf numFmtId="0" fontId="11" fillId="0" borderId="58" xfId="0" applyFont="1" applyBorder="1" applyAlignment="1">
      <alignment horizontal="center" vertical="center"/>
    </xf>
    <xf numFmtId="167" fontId="11" fillId="0" borderId="59" xfId="0" applyNumberFormat="1" applyFont="1" applyBorder="1" applyAlignment="1">
      <alignment vertical="center"/>
    </xf>
    <xf numFmtId="0" fontId="11" fillId="0" borderId="60" xfId="0" applyFont="1" applyBorder="1" applyAlignment="1">
      <alignment horizontal="center" vertical="center"/>
    </xf>
    <xf numFmtId="0" fontId="11" fillId="0" borderId="53" xfId="0" applyFont="1" applyBorder="1" applyAlignment="1">
      <alignment horizontal="center" vertical="center"/>
    </xf>
    <xf numFmtId="167" fontId="11" fillId="0" borderId="61" xfId="0" applyNumberFormat="1" applyFont="1" applyBorder="1" applyAlignment="1">
      <alignment vertical="center"/>
    </xf>
    <xf numFmtId="3" fontId="11" fillId="8" borderId="51" xfId="0" applyNumberFormat="1" applyFont="1" applyFill="1" applyBorder="1" applyAlignment="1">
      <alignment horizontal="center" vertical="center"/>
    </xf>
    <xf numFmtId="167" fontId="11" fillId="0" borderId="63" xfId="0" applyNumberFormat="1" applyFont="1" applyBorder="1" applyAlignment="1">
      <alignment vertical="center"/>
    </xf>
    <xf numFmtId="43" fontId="30" fillId="12" borderId="4" xfId="1" applyFont="1" applyFill="1" applyBorder="1" applyAlignment="1">
      <alignment horizontal="center"/>
    </xf>
    <xf numFmtId="164" fontId="32" fillId="10" borderId="3" xfId="2" applyFont="1" applyFill="1" applyBorder="1" applyAlignment="1">
      <alignment horizontal="center" vertical="center"/>
    </xf>
    <xf numFmtId="167" fontId="8" fillId="2" borderId="8" xfId="2" applyNumberFormat="1" applyFont="1" applyFill="1" applyBorder="1" applyAlignment="1">
      <alignment horizontal="center" vertical="center" wrapText="1"/>
    </xf>
    <xf numFmtId="167" fontId="8" fillId="2" borderId="4" xfId="2" applyNumberFormat="1" applyFont="1" applyFill="1" applyBorder="1" applyAlignment="1">
      <alignment horizontal="center" vertical="center" wrapText="1"/>
    </xf>
    <xf numFmtId="167" fontId="8" fillId="2" borderId="5" xfId="2" applyNumberFormat="1" applyFont="1" applyFill="1" applyBorder="1" applyAlignment="1">
      <alignment horizontal="center" vertical="center" wrapText="1"/>
    </xf>
    <xf numFmtId="0" fontId="33" fillId="12" borderId="20" xfId="4" applyFont="1" applyFill="1" applyBorder="1" applyAlignment="1">
      <alignment horizontal="center"/>
    </xf>
    <xf numFmtId="0" fontId="33" fillId="12" borderId="6" xfId="4" applyFont="1" applyFill="1" applyBorder="1"/>
    <xf numFmtId="0" fontId="34" fillId="12" borderId="6" xfId="4" applyFont="1" applyFill="1" applyBorder="1" applyAlignment="1">
      <alignment horizontal="center"/>
    </xf>
    <xf numFmtId="165" fontId="34" fillId="12" borderId="6" xfId="2" applyNumberFormat="1" applyFont="1" applyFill="1" applyBorder="1" applyAlignment="1">
      <alignment horizontal="right"/>
    </xf>
    <xf numFmtId="0" fontId="33" fillId="12" borderId="8" xfId="4" applyFont="1" applyFill="1" applyBorder="1" applyAlignment="1">
      <alignment horizontal="center"/>
    </xf>
    <xf numFmtId="0" fontId="33" fillId="12" borderId="4" xfId="4" applyFont="1" applyFill="1" applyBorder="1"/>
    <xf numFmtId="0" fontId="34" fillId="12" borderId="4" xfId="4" applyFont="1" applyFill="1" applyBorder="1" applyAlignment="1">
      <alignment horizontal="center"/>
    </xf>
    <xf numFmtId="165" fontId="34" fillId="12" borderId="4" xfId="2" applyNumberFormat="1" applyFont="1" applyFill="1" applyBorder="1" applyAlignment="1">
      <alignment horizontal="right"/>
    </xf>
    <xf numFmtId="167" fontId="34" fillId="12" borderId="5" xfId="2" applyNumberFormat="1" applyFont="1" applyFill="1" applyBorder="1"/>
    <xf numFmtId="167" fontId="34" fillId="12" borderId="3" xfId="2" applyNumberFormat="1" applyFont="1" applyFill="1" applyBorder="1"/>
    <xf numFmtId="165" fontId="0" fillId="0" borderId="4" xfId="2" applyNumberFormat="1" applyFont="1" applyBorder="1"/>
    <xf numFmtId="0" fontId="0" fillId="0" borderId="5" xfId="0" applyBorder="1"/>
    <xf numFmtId="3" fontId="11" fillId="8" borderId="2" xfId="0" applyNumberFormat="1" applyFont="1" applyFill="1" applyBorder="1" applyAlignment="1">
      <alignment horizontal="center" vertical="center"/>
    </xf>
    <xf numFmtId="167" fontId="11" fillId="0" borderId="64" xfId="0" applyNumberFormat="1" applyFont="1" applyBorder="1" applyAlignment="1">
      <alignment vertical="center"/>
    </xf>
    <xf numFmtId="0" fontId="11" fillId="0" borderId="29" xfId="0" applyFont="1" applyFill="1" applyBorder="1" applyAlignment="1">
      <alignment horizontal="left" vertical="center" wrapText="1"/>
    </xf>
    <xf numFmtId="171" fontId="11" fillId="9" borderId="0" xfId="2" applyNumberFormat="1" applyFont="1" applyFill="1" applyBorder="1" applyAlignment="1">
      <alignment vertical="center"/>
    </xf>
    <xf numFmtId="17" fontId="0" fillId="3" borderId="0" xfId="0" applyNumberFormat="1" applyFill="1"/>
    <xf numFmtId="0" fontId="0" fillId="11" borderId="0" xfId="0" applyFill="1"/>
    <xf numFmtId="17" fontId="0" fillId="3" borderId="0" xfId="0" applyNumberFormat="1" applyFill="1" applyAlignment="1">
      <alignment horizontal="right"/>
    </xf>
    <xf numFmtId="0" fontId="11" fillId="0" borderId="54" xfId="0" applyFont="1" applyFill="1" applyBorder="1" applyAlignment="1">
      <alignment horizontal="center" vertical="center"/>
    </xf>
    <xf numFmtId="170" fontId="11" fillId="0" borderId="14" xfId="1" applyNumberFormat="1" applyFont="1" applyFill="1" applyBorder="1" applyAlignment="1">
      <alignment vertical="center"/>
    </xf>
    <xf numFmtId="167" fontId="11" fillId="0" borderId="55" xfId="0" applyNumberFormat="1" applyFont="1" applyFill="1" applyBorder="1" applyAlignment="1">
      <alignment vertical="center"/>
    </xf>
    <xf numFmtId="0" fontId="11" fillId="0" borderId="14" xfId="0" applyFont="1" applyFill="1" applyBorder="1" applyAlignment="1">
      <alignment horizontal="left" vertical="center" wrapText="1"/>
    </xf>
    <xf numFmtId="2" fontId="12" fillId="9" borderId="65" xfId="1" applyNumberFormat="1" applyFont="1" applyFill="1" applyBorder="1" applyAlignment="1">
      <alignment vertical="center"/>
    </xf>
    <xf numFmtId="3" fontId="11" fillId="8" borderId="15" xfId="0" applyNumberFormat="1" applyFont="1" applyFill="1" applyBorder="1" applyAlignment="1">
      <alignment horizontal="center" vertical="center"/>
    </xf>
    <xf numFmtId="171" fontId="11" fillId="9" borderId="29" xfId="2" applyNumberFormat="1" applyFont="1" applyFill="1" applyBorder="1" applyAlignment="1">
      <alignment vertical="center"/>
    </xf>
    <xf numFmtId="171" fontId="11" fillId="9" borderId="26" xfId="2" applyNumberFormat="1" applyFont="1" applyFill="1" applyBorder="1" applyAlignment="1">
      <alignment vertical="center"/>
    </xf>
    <xf numFmtId="170" fontId="11" fillId="4" borderId="15" xfId="1" applyNumberFormat="1" applyFont="1" applyFill="1" applyBorder="1" applyAlignment="1">
      <alignment vertical="center"/>
    </xf>
    <xf numFmtId="167" fontId="11" fillId="0" borderId="64" xfId="0" applyNumberFormat="1" applyFont="1" applyFill="1" applyBorder="1" applyAlignment="1">
      <alignment vertical="center"/>
    </xf>
    <xf numFmtId="3" fontId="11" fillId="8" borderId="29" xfId="0" applyNumberFormat="1" applyFont="1" applyFill="1" applyBorder="1" applyAlignment="1">
      <alignment horizontal="center" vertical="center"/>
    </xf>
    <xf numFmtId="167" fontId="11" fillId="0" borderId="34" xfId="0" applyNumberFormat="1" applyFont="1" applyBorder="1" applyAlignment="1">
      <alignment vertical="center"/>
    </xf>
    <xf numFmtId="3" fontId="24" fillId="8" borderId="24" xfId="0" applyNumberFormat="1" applyFont="1" applyFill="1" applyBorder="1" applyAlignment="1">
      <alignment horizontal="center" vertical="center"/>
    </xf>
    <xf numFmtId="171" fontId="11" fillId="9" borderId="50" xfId="2" applyNumberFormat="1" applyFont="1" applyFill="1" applyBorder="1" applyAlignment="1">
      <alignment vertical="center"/>
    </xf>
    <xf numFmtId="3" fontId="11" fillId="8" borderId="66" xfId="0" applyNumberFormat="1" applyFont="1" applyFill="1" applyBorder="1" applyAlignment="1">
      <alignment horizontal="center" vertical="center"/>
    </xf>
    <xf numFmtId="171" fontId="11" fillId="9" borderId="30" xfId="2" applyNumberFormat="1" applyFont="1" applyFill="1" applyBorder="1" applyAlignment="1">
      <alignment vertical="center"/>
    </xf>
    <xf numFmtId="2" fontId="12" fillId="9" borderId="2" xfId="1" applyNumberFormat="1" applyFont="1" applyFill="1" applyBorder="1" applyAlignment="1">
      <alignment vertical="center"/>
    </xf>
    <xf numFmtId="170" fontId="11" fillId="4" borderId="1" xfId="1" applyNumberFormat="1" applyFont="1" applyFill="1" applyBorder="1" applyAlignment="1">
      <alignment vertical="center"/>
    </xf>
    <xf numFmtId="0" fontId="16" fillId="0" borderId="67" xfId="0" applyFont="1" applyFill="1" applyBorder="1" applyAlignment="1"/>
    <xf numFmtId="0" fontId="11" fillId="0" borderId="68" xfId="0" applyFont="1" applyBorder="1" applyAlignment="1">
      <alignment horizontal="center" vertical="center"/>
    </xf>
    <xf numFmtId="3" fontId="11" fillId="8" borderId="50" xfId="0" applyNumberFormat="1" applyFont="1" applyFill="1" applyBorder="1" applyAlignment="1">
      <alignment horizontal="center" vertical="center"/>
    </xf>
    <xf numFmtId="2" fontId="12" fillId="9" borderId="50" xfId="1" applyNumberFormat="1" applyFont="1" applyFill="1" applyBorder="1" applyAlignment="1">
      <alignment vertical="center"/>
    </xf>
    <xf numFmtId="170" fontId="11" fillId="4" borderId="50" xfId="1" applyNumberFormat="1" applyFont="1" applyFill="1" applyBorder="1" applyAlignment="1">
      <alignment vertical="center"/>
    </xf>
    <xf numFmtId="167" fontId="11" fillId="0" borderId="69" xfId="0" applyNumberFormat="1" applyFont="1" applyBorder="1" applyAlignment="1">
      <alignment vertical="center"/>
    </xf>
    <xf numFmtId="0" fontId="11" fillId="0" borderId="70" xfId="0" applyFont="1" applyBorder="1" applyAlignment="1">
      <alignment horizontal="center" vertical="center"/>
    </xf>
    <xf numFmtId="2" fontId="12" fillId="9" borderId="26" xfId="1" applyNumberFormat="1" applyFont="1" applyFill="1" applyBorder="1" applyAlignment="1">
      <alignment vertical="center"/>
    </xf>
    <xf numFmtId="170" fontId="11" fillId="4" borderId="26" xfId="1" applyNumberFormat="1" applyFont="1" applyFill="1" applyBorder="1" applyAlignment="1">
      <alignment vertical="center"/>
    </xf>
    <xf numFmtId="0" fontId="11" fillId="0" borderId="71" xfId="0" applyFont="1" applyBorder="1" applyAlignment="1">
      <alignment horizontal="center" vertical="center"/>
    </xf>
    <xf numFmtId="0" fontId="11" fillId="0" borderId="51" xfId="0" applyFont="1" applyFill="1" applyBorder="1" applyAlignment="1">
      <alignment horizontal="left" vertical="center" wrapText="1"/>
    </xf>
    <xf numFmtId="171" fontId="11" fillId="9" borderId="51" xfId="2" applyNumberFormat="1" applyFont="1" applyFill="1" applyBorder="1" applyAlignment="1">
      <alignment vertical="center"/>
    </xf>
    <xf numFmtId="2" fontId="12" fillId="9" borderId="51" xfId="1" applyNumberFormat="1" applyFont="1" applyFill="1" applyBorder="1" applyAlignment="1">
      <alignment vertical="center"/>
    </xf>
    <xf numFmtId="170" fontId="11" fillId="4" borderId="51" xfId="1" applyNumberFormat="1" applyFont="1" applyFill="1" applyBorder="1" applyAlignment="1">
      <alignment vertical="center"/>
    </xf>
    <xf numFmtId="0" fontId="11" fillId="0" borderId="70" xfId="0" applyFont="1" applyFill="1" applyBorder="1" applyAlignment="1">
      <alignment horizontal="center" vertical="center" wrapText="1"/>
    </xf>
    <xf numFmtId="0" fontId="16" fillId="0" borderId="26" xfId="0" applyFont="1" applyFill="1" applyBorder="1" applyAlignment="1"/>
    <xf numFmtId="0" fontId="11" fillId="0" borderId="72" xfId="0" applyFont="1" applyFill="1" applyBorder="1" applyAlignment="1">
      <alignment horizontal="left" vertical="center" wrapText="1"/>
    </xf>
    <xf numFmtId="0" fontId="11" fillId="0" borderId="73" xfId="0" applyFont="1" applyFill="1" applyBorder="1" applyAlignment="1">
      <alignment horizontal="left" vertical="center" wrapText="1"/>
    </xf>
    <xf numFmtId="0" fontId="11" fillId="0" borderId="74" xfId="0" applyFont="1" applyFill="1" applyBorder="1" applyAlignment="1">
      <alignment horizontal="left" vertical="center" wrapText="1"/>
    </xf>
    <xf numFmtId="2" fontId="12" fillId="9" borderId="30" xfId="1" applyNumberFormat="1" applyFont="1" applyFill="1" applyBorder="1" applyAlignment="1">
      <alignment vertical="center"/>
    </xf>
    <xf numFmtId="170" fontId="11" fillId="4" borderId="30" xfId="1" applyNumberFormat="1" applyFont="1" applyFill="1" applyBorder="1" applyAlignment="1">
      <alignment vertical="center"/>
    </xf>
    <xf numFmtId="0" fontId="11" fillId="0" borderId="75" xfId="0" applyFont="1" applyBorder="1" applyAlignment="1">
      <alignment horizontal="center" vertical="center"/>
    </xf>
    <xf numFmtId="171" fontId="11" fillId="9" borderId="14" xfId="2" applyNumberFormat="1" applyFont="1" applyFill="1" applyBorder="1" applyAlignment="1">
      <alignment vertical="center"/>
    </xf>
    <xf numFmtId="0" fontId="11" fillId="0" borderId="21" xfId="0" applyFont="1" applyFill="1" applyBorder="1" applyAlignment="1">
      <alignment horizontal="center" vertical="center" wrapText="1"/>
    </xf>
    <xf numFmtId="0" fontId="11" fillId="0" borderId="48" xfId="0" applyFont="1" applyBorder="1" applyAlignment="1">
      <alignment horizontal="center" vertical="center"/>
    </xf>
    <xf numFmtId="0" fontId="11" fillId="0" borderId="76" xfId="0" applyFont="1" applyBorder="1" applyAlignment="1">
      <alignment horizontal="center" vertical="center"/>
    </xf>
    <xf numFmtId="10" fontId="0" fillId="6" borderId="0" xfId="3" applyNumberFormat="1" applyFont="1" applyFill="1" applyAlignment="1">
      <alignment horizontal="left"/>
    </xf>
    <xf numFmtId="0" fontId="8" fillId="0" borderId="8" xfId="0" applyFont="1" applyFill="1" applyBorder="1" applyAlignment="1">
      <alignment horizontal="center" vertical="center" wrapText="1"/>
    </xf>
    <xf numFmtId="0" fontId="11" fillId="0" borderId="4" xfId="0" applyFont="1" applyFill="1" applyBorder="1" applyAlignment="1">
      <alignment horizontal="left" vertical="center" wrapText="1"/>
    </xf>
    <xf numFmtId="0" fontId="34" fillId="7" borderId="42" xfId="4" applyFont="1" applyFill="1" applyBorder="1" applyAlignment="1">
      <alignment horizontal="center"/>
    </xf>
    <xf numFmtId="0" fontId="21" fillId="0" borderId="10" xfId="4" applyFont="1" applyBorder="1"/>
    <xf numFmtId="0" fontId="20" fillId="3" borderId="23" xfId="4" applyFont="1" applyFill="1" applyBorder="1" applyAlignment="1">
      <alignment horizontal="center"/>
    </xf>
    <xf numFmtId="0" fontId="21" fillId="3" borderId="9" xfId="4" applyFont="1" applyFill="1" applyBorder="1"/>
    <xf numFmtId="0" fontId="11" fillId="0" borderId="21" xfId="0" applyFont="1" applyBorder="1" applyAlignment="1">
      <alignment horizontal="center" vertical="center"/>
    </xf>
    <xf numFmtId="171" fontId="11" fillId="9" borderId="1" xfId="2" applyNumberFormat="1" applyFont="1" applyFill="1" applyBorder="1" applyAlignment="1">
      <alignment vertical="center"/>
    </xf>
    <xf numFmtId="2" fontId="12" fillId="9" borderId="29" xfId="1" applyNumberFormat="1" applyFont="1" applyFill="1" applyBorder="1" applyAlignment="1">
      <alignment vertical="center"/>
    </xf>
    <xf numFmtId="170" fontId="11" fillId="4" borderId="29" xfId="1" applyNumberFormat="1" applyFont="1" applyFill="1" applyBorder="1" applyAlignment="1">
      <alignment vertical="center"/>
    </xf>
    <xf numFmtId="0" fontId="20" fillId="4" borderId="23" xfId="4" applyFont="1" applyFill="1" applyBorder="1" applyAlignment="1">
      <alignment horizontal="center"/>
    </xf>
    <xf numFmtId="0" fontId="20" fillId="4" borderId="0" xfId="4" applyFont="1" applyFill="1" applyBorder="1" applyAlignment="1">
      <alignment horizontal="center"/>
    </xf>
    <xf numFmtId="0" fontId="21" fillId="4" borderId="0" xfId="4" applyFont="1" applyFill="1" applyBorder="1"/>
    <xf numFmtId="0" fontId="26" fillId="0" borderId="42" xfId="4" applyFont="1" applyBorder="1" applyAlignment="1">
      <alignment horizontal="center"/>
    </xf>
    <xf numFmtId="0" fontId="26" fillId="0" borderId="77" xfId="4" applyFont="1" applyBorder="1" applyAlignment="1">
      <alignment horizontal="center"/>
    </xf>
    <xf numFmtId="0" fontId="26" fillId="0" borderId="18" xfId="4" applyFont="1" applyBorder="1" applyAlignment="1">
      <alignment horizontal="center"/>
    </xf>
    <xf numFmtId="10" fontId="14" fillId="7" borderId="3" xfId="0" applyNumberFormat="1" applyFont="1" applyFill="1" applyBorder="1"/>
    <xf numFmtId="10" fontId="0" fillId="0" borderId="0" xfId="3" applyNumberFormat="1" applyFont="1" applyFill="1"/>
    <xf numFmtId="164" fontId="4" fillId="7" borderId="3" xfId="2" applyFont="1" applyFill="1" applyBorder="1" applyAlignment="1">
      <alignment horizontal="right" vertical="center"/>
    </xf>
    <xf numFmtId="164" fontId="36" fillId="10" borderId="3" xfId="2" applyFont="1" applyFill="1" applyBorder="1" applyAlignment="1">
      <alignment horizontal="center" vertical="center"/>
    </xf>
    <xf numFmtId="2" fontId="37" fillId="7" borderId="3" xfId="2" applyNumberFormat="1" applyFont="1" applyFill="1" applyBorder="1" applyAlignment="1">
      <alignment horizontal="center" vertical="center"/>
    </xf>
    <xf numFmtId="0" fontId="0" fillId="13" borderId="0" xfId="0" applyFill="1" applyBorder="1"/>
    <xf numFmtId="0" fontId="0" fillId="13" borderId="0" xfId="0" applyFill="1"/>
    <xf numFmtId="0" fontId="20" fillId="3" borderId="21" xfId="4" applyFont="1" applyFill="1" applyBorder="1" applyAlignment="1">
      <alignment horizontal="center"/>
    </xf>
    <xf numFmtId="0" fontId="21" fillId="3" borderId="0" xfId="4" applyFont="1" applyFill="1" applyBorder="1"/>
    <xf numFmtId="0" fontId="21" fillId="3" borderId="45" xfId="4" applyFont="1" applyFill="1" applyBorder="1" applyAlignment="1">
      <alignment horizontal="center"/>
    </xf>
    <xf numFmtId="165" fontId="22" fillId="3" borderId="32" xfId="2" applyNumberFormat="1" applyFont="1" applyFill="1" applyBorder="1"/>
    <xf numFmtId="0" fontId="21" fillId="3" borderId="32" xfId="4" applyFont="1" applyFill="1" applyBorder="1" applyAlignment="1">
      <alignment horizontal="center"/>
    </xf>
    <xf numFmtId="0" fontId="22" fillId="3" borderId="32" xfId="4" applyFont="1" applyFill="1" applyBorder="1" applyAlignment="1">
      <alignment horizontal="center"/>
    </xf>
    <xf numFmtId="0" fontId="21" fillId="3" borderId="46" xfId="4" applyFont="1" applyFill="1" applyBorder="1" applyAlignment="1">
      <alignment horizontal="center"/>
    </xf>
    <xf numFmtId="165" fontId="22" fillId="3" borderId="40" xfId="2" applyNumberFormat="1" applyFont="1" applyFill="1" applyBorder="1"/>
    <xf numFmtId="0" fontId="21" fillId="3" borderId="40" xfId="4" applyFont="1" applyFill="1" applyBorder="1" applyAlignment="1">
      <alignment horizontal="center"/>
    </xf>
    <xf numFmtId="0" fontId="22" fillId="3" borderId="40" xfId="4" applyFont="1" applyFill="1" applyBorder="1" applyAlignment="1">
      <alignment horizontal="center"/>
    </xf>
    <xf numFmtId="0" fontId="20" fillId="3" borderId="20" xfId="4" applyFont="1" applyFill="1" applyBorder="1" applyAlignment="1">
      <alignment horizontal="center"/>
    </xf>
    <xf numFmtId="0" fontId="21" fillId="3" borderId="6" xfId="4" applyFont="1" applyFill="1" applyBorder="1"/>
    <xf numFmtId="0" fontId="21" fillId="3" borderId="43" xfId="4" applyFont="1" applyFill="1" applyBorder="1" applyAlignment="1">
      <alignment horizontal="center"/>
    </xf>
    <xf numFmtId="165" fontId="22" fillId="3" borderId="44" xfId="2" applyNumberFormat="1" applyFont="1" applyFill="1" applyBorder="1"/>
    <xf numFmtId="0" fontId="21" fillId="3" borderId="44" xfId="4" applyFont="1" applyFill="1" applyBorder="1" applyAlignment="1">
      <alignment horizontal="center"/>
    </xf>
    <xf numFmtId="0" fontId="22" fillId="3" borderId="44" xfId="4" applyFont="1" applyFill="1" applyBorder="1" applyAlignment="1">
      <alignment horizontal="center"/>
    </xf>
    <xf numFmtId="167" fontId="21" fillId="3" borderId="47" xfId="2" applyNumberFormat="1" applyFont="1" applyFill="1" applyBorder="1"/>
    <xf numFmtId="0" fontId="21" fillId="4" borderId="9" xfId="4" applyFont="1" applyFill="1" applyBorder="1"/>
    <xf numFmtId="3" fontId="20" fillId="3" borderId="23" xfId="4" applyNumberFormat="1" applyFont="1" applyFill="1" applyBorder="1" applyAlignment="1">
      <alignment horizontal="center"/>
    </xf>
    <xf numFmtId="0" fontId="6" fillId="0" borderId="9" xfId="0" applyFont="1" applyBorder="1" applyAlignment="1">
      <alignment horizontal="center"/>
    </xf>
    <xf numFmtId="0" fontId="11" fillId="0" borderId="26" xfId="0" applyFont="1" applyFill="1" applyBorder="1" applyAlignment="1">
      <alignment horizontal="center"/>
    </xf>
    <xf numFmtId="0" fontId="11" fillId="0" borderId="14" xfId="0" applyFont="1" applyFill="1" applyBorder="1" applyAlignment="1">
      <alignment horizontal="center"/>
    </xf>
    <xf numFmtId="0" fontId="11" fillId="0" borderId="16" xfId="0" applyFont="1" applyFill="1" applyBorder="1" applyAlignment="1">
      <alignment horizontal="center"/>
    </xf>
    <xf numFmtId="0" fontId="11" fillId="0" borderId="24" xfId="0" applyFont="1" applyFill="1" applyBorder="1" applyAlignment="1">
      <alignment horizontal="center"/>
    </xf>
    <xf numFmtId="0" fontId="11" fillId="0" borderId="29" xfId="0" applyFont="1" applyFill="1" applyBorder="1" applyAlignment="1">
      <alignment horizontal="center"/>
    </xf>
    <xf numFmtId="0" fontId="11" fillId="0" borderId="50" xfId="0" applyFont="1" applyFill="1" applyBorder="1" applyAlignment="1">
      <alignment horizontal="center"/>
    </xf>
    <xf numFmtId="0" fontId="11" fillId="0" borderId="51" xfId="0" applyFont="1" applyFill="1" applyBorder="1" applyAlignment="1">
      <alignment horizontal="center"/>
    </xf>
    <xf numFmtId="0" fontId="11" fillId="0" borderId="2" xfId="0" applyFont="1" applyFill="1" applyBorder="1" applyAlignment="1">
      <alignment horizontal="center"/>
    </xf>
    <xf numFmtId="0" fontId="8" fillId="2" borderId="4" xfId="0" applyFont="1" applyFill="1" applyBorder="1" applyAlignment="1">
      <alignment horizontal="center"/>
    </xf>
    <xf numFmtId="0" fontId="11" fillId="0" borderId="30" xfId="0" applyFont="1" applyFill="1" applyBorder="1" applyAlignment="1">
      <alignment horizontal="center"/>
    </xf>
    <xf numFmtId="0" fontId="11" fillId="0" borderId="4" xfId="0" applyFont="1" applyFill="1" applyBorder="1" applyAlignment="1">
      <alignment horizontal="center" wrapText="1"/>
    </xf>
    <xf numFmtId="2" fontId="11" fillId="7" borderId="4" xfId="2" applyNumberFormat="1" applyFont="1" applyFill="1" applyBorder="1" applyAlignment="1">
      <alignment horizontal="center" vertical="center"/>
    </xf>
    <xf numFmtId="172" fontId="11" fillId="9" borderId="15" xfId="2" applyNumberFormat="1" applyFont="1" applyFill="1" applyBorder="1" applyAlignment="1">
      <alignment vertical="center"/>
    </xf>
    <xf numFmtId="164" fontId="11" fillId="0" borderId="5" xfId="2" applyFont="1" applyBorder="1" applyAlignment="1">
      <alignment horizontal="center" vertical="center"/>
    </xf>
    <xf numFmtId="2" fontId="15" fillId="0" borderId="5" xfId="2" applyNumberFormat="1" applyFont="1" applyBorder="1" applyAlignment="1">
      <alignment horizontal="center"/>
    </xf>
    <xf numFmtId="164" fontId="0" fillId="0" borderId="5" xfId="2" applyFont="1" applyBorder="1" applyAlignment="1">
      <alignment horizontal="center"/>
    </xf>
    <xf numFmtId="173" fontId="11" fillId="7" borderId="3" xfId="2" applyNumberFormat="1" applyFont="1" applyFill="1" applyBorder="1" applyAlignment="1">
      <alignment horizontal="center" vertical="center"/>
    </xf>
    <xf numFmtId="9" fontId="0" fillId="7" borderId="3" xfId="3" applyFont="1" applyFill="1" applyBorder="1" applyAlignment="1">
      <alignment horizontal="left"/>
    </xf>
    <xf numFmtId="164" fontId="0" fillId="7" borderId="3" xfId="2" applyFont="1" applyFill="1" applyBorder="1" applyAlignment="1">
      <alignment horizontal="left"/>
    </xf>
    <xf numFmtId="9" fontId="40" fillId="7" borderId="3" xfId="3" applyFont="1" applyFill="1" applyBorder="1"/>
    <xf numFmtId="10" fontId="14" fillId="3" borderId="0" xfId="0" applyNumberFormat="1" applyFont="1" applyFill="1"/>
    <xf numFmtId="164" fontId="0" fillId="14" borderId="3" xfId="2" applyFont="1" applyFill="1" applyBorder="1" applyAlignment="1">
      <alignment horizontal="left"/>
    </xf>
    <xf numFmtId="0" fontId="8" fillId="2" borderId="4" xfId="0" applyFont="1" applyFill="1" applyBorder="1" applyAlignment="1">
      <alignment horizontal="left" vertical="center" wrapText="1"/>
    </xf>
    <xf numFmtId="0" fontId="11" fillId="4" borderId="26" xfId="0" applyFont="1" applyFill="1" applyBorder="1" applyAlignment="1">
      <alignment horizontal="left" vertical="center" wrapText="1"/>
    </xf>
    <xf numFmtId="0" fontId="8" fillId="2" borderId="4" xfId="0" applyFont="1" applyFill="1" applyBorder="1" applyAlignment="1">
      <alignment horizontal="left" vertical="center" wrapText="1"/>
    </xf>
    <xf numFmtId="0" fontId="0" fillId="3" borderId="0" xfId="0" applyFill="1" applyAlignment="1">
      <alignment horizontal="left" wrapText="1"/>
    </xf>
    <xf numFmtId="0" fontId="16" fillId="4" borderId="51" xfId="0" applyFont="1" applyFill="1" applyBorder="1" applyAlignment="1"/>
    <xf numFmtId="0" fontId="11" fillId="4" borderId="51" xfId="0" applyFont="1" applyFill="1" applyBorder="1" applyAlignment="1">
      <alignment horizontal="center"/>
    </xf>
    <xf numFmtId="0" fontId="8" fillId="2" borderId="4" xfId="0" applyFont="1" applyFill="1" applyBorder="1" applyAlignment="1">
      <alignment horizontal="center" vertical="center" wrapText="1"/>
    </xf>
    <xf numFmtId="2" fontId="9" fillId="2" borderId="4" xfId="2" applyNumberFormat="1" applyFont="1" applyFill="1" applyBorder="1" applyAlignment="1">
      <alignment vertical="center"/>
    </xf>
    <xf numFmtId="164" fontId="8" fillId="2" borderId="12" xfId="2" applyFont="1" applyFill="1" applyBorder="1" applyAlignment="1">
      <alignment vertical="center"/>
    </xf>
    <xf numFmtId="0" fontId="0" fillId="3" borderId="0" xfId="0" applyFill="1" applyAlignment="1">
      <alignment wrapText="1"/>
    </xf>
    <xf numFmtId="17" fontId="0" fillId="3" borderId="0" xfId="0" applyNumberFormat="1" applyFill="1" applyAlignment="1">
      <alignment wrapText="1"/>
    </xf>
    <xf numFmtId="3" fontId="11" fillId="0" borderId="54" xfId="0" applyNumberFormat="1" applyFont="1" applyBorder="1" applyAlignment="1">
      <alignment horizontal="center" vertical="center"/>
    </xf>
    <xf numFmtId="0" fontId="11" fillId="0" borderId="8" xfId="0" applyFont="1" applyBorder="1" applyAlignment="1">
      <alignment horizontal="center" vertical="center"/>
    </xf>
    <xf numFmtId="0" fontId="11" fillId="4" borderId="11" xfId="0" applyFont="1" applyFill="1" applyBorder="1" applyAlignment="1">
      <alignment horizontal="left" vertical="center" wrapText="1"/>
    </xf>
    <xf numFmtId="0" fontId="11" fillId="0" borderId="11" xfId="0" applyFont="1" applyFill="1" applyBorder="1" applyAlignment="1">
      <alignment horizontal="center"/>
    </xf>
    <xf numFmtId="3" fontId="11" fillId="8" borderId="11" xfId="0" applyNumberFormat="1" applyFont="1" applyFill="1" applyBorder="1" applyAlignment="1">
      <alignment horizontal="center" vertical="center"/>
    </xf>
    <xf numFmtId="171" fontId="11" fillId="9" borderId="78" xfId="2" applyNumberFormat="1" applyFont="1" applyFill="1" applyBorder="1" applyAlignment="1">
      <alignment vertical="center"/>
    </xf>
    <xf numFmtId="2" fontId="12" fillId="9" borderId="11" xfId="1" applyNumberFormat="1" applyFont="1" applyFill="1" applyBorder="1" applyAlignment="1">
      <alignment vertical="center"/>
    </xf>
    <xf numFmtId="164" fontId="11" fillId="0" borderId="11" xfId="2" applyFont="1" applyBorder="1" applyAlignment="1">
      <alignment vertical="center"/>
    </xf>
    <xf numFmtId="167" fontId="11" fillId="0" borderId="13" xfId="0" applyNumberFormat="1" applyFont="1" applyBorder="1" applyAlignment="1">
      <alignment vertical="center"/>
    </xf>
    <xf numFmtId="171" fontId="11" fillId="9" borderId="62" xfId="2" applyNumberFormat="1" applyFont="1" applyFill="1" applyBorder="1" applyAlignment="1">
      <alignment vertical="center"/>
    </xf>
    <xf numFmtId="0" fontId="40" fillId="5" borderId="0" xfId="6" applyFont="1" applyFill="1" applyAlignment="1">
      <alignment vertical="center" wrapText="1"/>
    </xf>
    <xf numFmtId="0" fontId="11" fillId="0" borderId="2" xfId="0" applyFont="1" applyFill="1" applyBorder="1" applyAlignment="1">
      <alignment horizontal="center" wrapText="1"/>
    </xf>
    <xf numFmtId="3" fontId="11" fillId="8" borderId="28" xfId="0" applyNumberFormat="1" applyFont="1" applyFill="1" applyBorder="1" applyAlignment="1">
      <alignment horizontal="center" vertical="center"/>
    </xf>
    <xf numFmtId="0" fontId="11" fillId="0" borderId="50" xfId="0" applyFont="1" applyFill="1" applyBorder="1" applyAlignment="1">
      <alignment horizontal="center" wrapText="1"/>
    </xf>
    <xf numFmtId="10" fontId="8" fillId="2" borderId="5" xfId="0" applyNumberFormat="1" applyFont="1" applyFill="1" applyBorder="1" applyAlignment="1">
      <alignment horizontal="left" vertical="center" wrapText="1"/>
    </xf>
    <xf numFmtId="10" fontId="0" fillId="0" borderId="0" xfId="0" applyNumberFormat="1"/>
    <xf numFmtId="0" fontId="41" fillId="3" borderId="0" xfId="6" applyFill="1" applyAlignment="1">
      <alignment horizontal="left" vertical="top" wrapText="1"/>
    </xf>
    <xf numFmtId="17" fontId="0" fillId="3" borderId="0" xfId="0" applyNumberFormat="1" applyFill="1" applyAlignment="1">
      <alignment horizontal="right" wrapText="1"/>
    </xf>
    <xf numFmtId="164" fontId="8" fillId="2" borderId="4" xfId="2" applyFont="1" applyFill="1" applyBorder="1" applyAlignment="1">
      <alignment vertical="center"/>
    </xf>
    <xf numFmtId="165" fontId="8" fillId="2" borderId="5" xfId="0" applyNumberFormat="1" applyFont="1" applyFill="1" applyBorder="1" applyAlignment="1">
      <alignment horizontal="left" vertical="center" indent="1"/>
    </xf>
    <xf numFmtId="0" fontId="0" fillId="5" borderId="0" xfId="0" applyFill="1" applyAlignment="1">
      <alignment horizontal="left" vertical="center" wrapText="1"/>
    </xf>
    <xf numFmtId="17" fontId="40" fillId="3" borderId="0" xfId="6" applyNumberFormat="1" applyFont="1" applyFill="1" applyAlignment="1">
      <alignment horizontal="right" wrapText="1"/>
    </xf>
    <xf numFmtId="0" fontId="8" fillId="2" borderId="4" xfId="0" applyFont="1" applyFill="1" applyBorder="1" applyAlignment="1">
      <alignment horizontal="left" vertical="center" wrapText="1"/>
    </xf>
    <xf numFmtId="0" fontId="0" fillId="4" borderId="0" xfId="0" applyFill="1" applyBorder="1" applyAlignment="1"/>
    <xf numFmtId="0" fontId="20" fillId="0" borderId="20" xfId="4" applyFont="1" applyFill="1" applyBorder="1" applyAlignment="1">
      <alignment horizontal="center"/>
    </xf>
    <xf numFmtId="0" fontId="42" fillId="0" borderId="0" xfId="0" applyFont="1"/>
    <xf numFmtId="10" fontId="42" fillId="0" borderId="0" xfId="3" applyNumberFormat="1" applyFont="1"/>
    <xf numFmtId="174" fontId="42" fillId="0" borderId="0" xfId="3" applyNumberFormat="1" applyFont="1"/>
    <xf numFmtId="9" fontId="42" fillId="0" borderId="0" xfId="3" applyFont="1" applyAlignment="1">
      <alignment horizontal="center"/>
    </xf>
    <xf numFmtId="174" fontId="0" fillId="0" borderId="0" xfId="3" applyNumberFormat="1" applyFont="1"/>
    <xf numFmtId="0" fontId="43" fillId="0" borderId="0" xfId="0" applyFont="1"/>
    <xf numFmtId="0" fontId="0" fillId="0" borderId="2" xfId="0" applyBorder="1" applyAlignment="1">
      <alignment vertical="center"/>
    </xf>
    <xf numFmtId="0" fontId="0" fillId="0" borderId="83" xfId="0" applyBorder="1" applyAlignment="1">
      <alignment horizontal="center"/>
    </xf>
    <xf numFmtId="0" fontId="0" fillId="0" borderId="83" xfId="0" applyBorder="1"/>
    <xf numFmtId="0" fontId="14" fillId="0" borderId="84" xfId="0" applyFont="1" applyBorder="1" applyAlignment="1">
      <alignment horizontal="center" vertical="center" wrapText="1"/>
    </xf>
    <xf numFmtId="0" fontId="0" fillId="0" borderId="0" xfId="0" applyBorder="1" applyAlignment="1">
      <alignment vertical="center" wrapText="1"/>
    </xf>
    <xf numFmtId="0" fontId="13" fillId="0" borderId="0" xfId="0" applyFont="1" applyBorder="1" applyAlignment="1">
      <alignment vertical="center" wrapText="1"/>
    </xf>
    <xf numFmtId="0" fontId="0" fillId="0" borderId="0" xfId="0" applyBorder="1" applyAlignment="1">
      <alignment horizontal="center" vertical="center"/>
    </xf>
    <xf numFmtId="0" fontId="0" fillId="0" borderId="83" xfId="0" applyBorder="1" applyAlignment="1">
      <alignment horizontal="center" vertical="center"/>
    </xf>
    <xf numFmtId="0" fontId="14" fillId="0" borderId="0" xfId="0" applyFont="1" applyBorder="1" applyAlignment="1">
      <alignment horizontal="center" vertical="center" wrapText="1"/>
    </xf>
    <xf numFmtId="0" fontId="13" fillId="0" borderId="0" xfId="0" applyFont="1" applyBorder="1" applyAlignment="1">
      <alignment horizontal="left" vertical="center" wrapText="1"/>
    </xf>
    <xf numFmtId="0" fontId="45" fillId="0" borderId="84" xfId="0" applyFont="1" applyBorder="1" applyAlignment="1">
      <alignment horizontal="center" vertical="center" wrapText="1"/>
    </xf>
    <xf numFmtId="0" fontId="54" fillId="0" borderId="84" xfId="0" applyFont="1" applyBorder="1" applyAlignment="1">
      <alignment horizontal="center" vertical="center" wrapText="1"/>
    </xf>
    <xf numFmtId="0" fontId="14" fillId="0" borderId="0" xfId="0" applyFont="1" applyFill="1" applyBorder="1" applyAlignment="1">
      <alignment horizontal="left" vertical="center" wrapText="1"/>
    </xf>
    <xf numFmtId="0" fontId="14" fillId="0" borderId="83" xfId="0" applyFont="1" applyFill="1" applyBorder="1" applyAlignment="1">
      <alignment horizontal="left" vertical="center" wrapText="1"/>
    </xf>
    <xf numFmtId="0" fontId="0" fillId="0" borderId="2" xfId="0" applyBorder="1"/>
    <xf numFmtId="0" fontId="0" fillId="0" borderId="0" xfId="0" applyBorder="1" applyAlignment="1">
      <alignment horizontal="center" vertical="center" wrapText="1"/>
    </xf>
    <xf numFmtId="0" fontId="0" fillId="0" borderId="0" xfId="0" applyAlignment="1">
      <alignment horizontal="left" indent="1"/>
    </xf>
    <xf numFmtId="0" fontId="14" fillId="0" borderId="0" xfId="0" applyFont="1" applyBorder="1" applyAlignment="1">
      <alignment vertical="center" wrapText="1"/>
    </xf>
    <xf numFmtId="0" fontId="50" fillId="0" borderId="0" xfId="0" applyFont="1" applyBorder="1" applyAlignment="1">
      <alignment vertical="center"/>
    </xf>
    <xf numFmtId="0" fontId="14" fillId="0" borderId="28" xfId="0" applyFont="1" applyBorder="1" applyAlignment="1">
      <alignment horizontal="center" vertical="center" wrapText="1"/>
    </xf>
    <xf numFmtId="2" fontId="56" fillId="0" borderId="32" xfId="0" applyNumberFormat="1" applyFont="1" applyBorder="1" applyAlignment="1">
      <alignment horizontal="center" vertical="center" wrapText="1"/>
    </xf>
    <xf numFmtId="0" fontId="14" fillId="0" borderId="91" xfId="0" applyFont="1" applyBorder="1" applyAlignment="1">
      <alignment horizontal="center" vertical="center" wrapText="1"/>
    </xf>
    <xf numFmtId="2" fontId="56" fillId="4" borderId="44" xfId="0" applyNumberFormat="1" applyFont="1" applyFill="1" applyBorder="1" applyAlignment="1">
      <alignment horizontal="center" vertical="center" wrapText="1"/>
    </xf>
    <xf numFmtId="10" fontId="0" fillId="0" borderId="0" xfId="3" applyNumberFormat="1" applyFont="1"/>
    <xf numFmtId="2" fontId="56" fillId="4" borderId="32" xfId="0" applyNumberFormat="1" applyFont="1" applyFill="1" applyBorder="1" applyAlignment="1">
      <alignment horizontal="center" vertical="center" wrapText="1"/>
    </xf>
    <xf numFmtId="2" fontId="56" fillId="4" borderId="40" xfId="0" applyNumberFormat="1" applyFont="1" applyFill="1" applyBorder="1" applyAlignment="1">
      <alignment horizontal="center" vertical="center" wrapText="1"/>
    </xf>
    <xf numFmtId="2" fontId="0" fillId="0" borderId="0" xfId="0" applyNumberFormat="1"/>
    <xf numFmtId="169" fontId="0" fillId="0" borderId="0" xfId="3" applyNumberFormat="1" applyFont="1"/>
    <xf numFmtId="2" fontId="58" fillId="0" borderId="0" xfId="2" applyNumberFormat="1" applyFont="1"/>
    <xf numFmtId="164" fontId="42" fillId="0" borderId="0" xfId="2" applyFont="1"/>
    <xf numFmtId="0" fontId="40" fillId="3" borderId="0" xfId="6" applyFont="1" applyFill="1" applyAlignment="1">
      <alignment horizontal="left" vertical="top" wrapText="1"/>
    </xf>
    <xf numFmtId="0" fontId="0" fillId="3" borderId="0" xfId="0" applyFill="1" applyAlignment="1">
      <alignment horizontal="left" wrapText="1"/>
    </xf>
    <xf numFmtId="0" fontId="8" fillId="2" borderId="4" xfId="0" applyFont="1" applyFill="1" applyBorder="1" applyAlignment="1">
      <alignment horizontal="left" vertical="center" wrapText="1"/>
    </xf>
    <xf numFmtId="0" fontId="8" fillId="2" borderId="12" xfId="0" applyFont="1" applyFill="1" applyBorder="1" applyAlignment="1">
      <alignment horizontal="left" vertical="center" wrapText="1"/>
    </xf>
    <xf numFmtId="0" fontId="8" fillId="7" borderId="8" xfId="0" applyFont="1" applyFill="1" applyBorder="1" applyAlignment="1">
      <alignment horizontal="center" vertical="center" wrapText="1"/>
    </xf>
    <xf numFmtId="0" fontId="8" fillId="7" borderId="4" xfId="0" applyFont="1" applyFill="1" applyBorder="1" applyAlignment="1">
      <alignment horizontal="center" vertical="center" wrapText="1"/>
    </xf>
    <xf numFmtId="0" fontId="8" fillId="7" borderId="5" xfId="0" applyFont="1" applyFill="1" applyBorder="1" applyAlignment="1">
      <alignment horizontal="center" vertical="center" wrapText="1"/>
    </xf>
    <xf numFmtId="0" fontId="38" fillId="0" borderId="6" xfId="0" applyFont="1" applyBorder="1" applyAlignment="1">
      <alignment horizontal="center" wrapText="1"/>
    </xf>
    <xf numFmtId="0" fontId="38" fillId="0" borderId="0" xfId="0" applyFont="1" applyBorder="1" applyAlignment="1">
      <alignment horizontal="center" wrapText="1"/>
    </xf>
    <xf numFmtId="0" fontId="41" fillId="3" borderId="0" xfId="6" applyFill="1" applyAlignment="1">
      <alignment horizontal="left" wrapText="1"/>
    </xf>
    <xf numFmtId="0" fontId="40" fillId="3" borderId="0" xfId="0" applyFont="1" applyFill="1" applyAlignment="1">
      <alignment horizontal="left" wrapText="1"/>
    </xf>
    <xf numFmtId="0" fontId="11" fillId="0" borderId="8" xfId="0" applyFont="1" applyFill="1" applyBorder="1" applyAlignment="1">
      <alignment horizontal="left" vertical="center" wrapText="1"/>
    </xf>
    <xf numFmtId="0" fontId="11" fillId="0" borderId="4" xfId="0" applyFont="1" applyFill="1" applyBorder="1" applyAlignment="1">
      <alignment horizontal="left" vertical="center" wrapText="1"/>
    </xf>
    <xf numFmtId="0" fontId="10" fillId="12" borderId="8" xfId="0" applyFont="1" applyFill="1" applyBorder="1" applyAlignment="1">
      <alignment horizontal="center" vertical="center" wrapText="1"/>
    </xf>
    <xf numFmtId="0" fontId="10" fillId="12" borderId="4" xfId="0" applyFont="1" applyFill="1" applyBorder="1" applyAlignment="1">
      <alignment horizontal="center" vertical="center" wrapText="1"/>
    </xf>
    <xf numFmtId="0" fontId="10" fillId="12" borderId="5" xfId="0" applyFont="1" applyFill="1" applyBorder="1" applyAlignment="1">
      <alignment horizontal="center" vertical="center" wrapText="1"/>
    </xf>
    <xf numFmtId="164" fontId="8" fillId="2" borderId="6" xfId="2" applyFont="1" applyFill="1" applyBorder="1" applyAlignment="1">
      <alignment horizontal="center" vertical="center" wrapText="1"/>
    </xf>
    <xf numFmtId="164" fontId="8" fillId="2" borderId="9" xfId="2" applyFont="1" applyFill="1" applyBorder="1" applyAlignment="1">
      <alignment horizontal="center" vertical="center" wrapText="1"/>
    </xf>
    <xf numFmtId="43" fontId="8" fillId="2" borderId="7" xfId="1" applyFont="1" applyFill="1" applyBorder="1" applyAlignment="1">
      <alignment horizontal="center" vertical="center" wrapText="1"/>
    </xf>
    <xf numFmtId="43" fontId="8" fillId="2" borderId="10" xfId="1" applyFont="1" applyFill="1" applyBorder="1" applyAlignment="1">
      <alignment horizontal="center" vertical="center" wrapText="1"/>
    </xf>
    <xf numFmtId="0" fontId="0" fillId="3" borderId="8" xfId="0" applyFill="1" applyBorder="1" applyAlignment="1">
      <alignment horizontal="center"/>
    </xf>
    <xf numFmtId="0" fontId="0" fillId="3" borderId="4" xfId="0" applyFill="1" applyBorder="1" applyAlignment="1">
      <alignment horizontal="center"/>
    </xf>
    <xf numFmtId="0" fontId="0" fillId="3" borderId="5" xfId="0" applyFill="1" applyBorder="1" applyAlignment="1">
      <alignment horizontal="center"/>
    </xf>
    <xf numFmtId="0" fontId="8" fillId="2" borderId="6"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6" xfId="0" applyFont="1" applyFill="1" applyBorder="1" applyAlignment="1">
      <alignment horizontal="center"/>
    </xf>
    <xf numFmtId="0" fontId="8" fillId="2" borderId="9" xfId="0" applyFont="1" applyFill="1" applyBorder="1" applyAlignment="1">
      <alignment horizontal="center"/>
    </xf>
    <xf numFmtId="167" fontId="8" fillId="2" borderId="6" xfId="2" applyNumberFormat="1" applyFont="1" applyFill="1" applyBorder="1" applyAlignment="1">
      <alignment horizontal="center" vertical="center" wrapText="1"/>
    </xf>
    <xf numFmtId="167" fontId="8" fillId="2" borderId="9" xfId="2" applyNumberFormat="1" applyFont="1" applyFill="1" applyBorder="1" applyAlignment="1">
      <alignment horizontal="center" vertical="center" wrapText="1"/>
    </xf>
    <xf numFmtId="2" fontId="9" fillId="2" borderId="6" xfId="2" applyNumberFormat="1" applyFont="1" applyFill="1" applyBorder="1" applyAlignment="1">
      <alignment horizontal="center" vertical="center" wrapText="1"/>
    </xf>
    <xf numFmtId="2" fontId="9" fillId="2" borderId="9" xfId="2" applyNumberFormat="1" applyFont="1" applyFill="1" applyBorder="1" applyAlignment="1">
      <alignment horizontal="center" vertical="center" wrapText="1"/>
    </xf>
    <xf numFmtId="0" fontId="8" fillId="2" borderId="20" xfId="0" applyFont="1" applyFill="1" applyBorder="1" applyAlignment="1">
      <alignment horizontal="center" vertical="center" wrapText="1"/>
    </xf>
    <xf numFmtId="0" fontId="8" fillId="2" borderId="23"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39" fillId="3" borderId="8" xfId="0" applyFont="1" applyFill="1" applyBorder="1" applyAlignment="1">
      <alignment horizontal="center"/>
    </xf>
    <xf numFmtId="0" fontId="39" fillId="3" borderId="4" xfId="0" applyFont="1" applyFill="1" applyBorder="1" applyAlignment="1">
      <alignment horizontal="center"/>
    </xf>
    <xf numFmtId="0" fontId="39" fillId="3" borderId="5" xfId="0" applyFont="1" applyFill="1" applyBorder="1" applyAlignment="1">
      <alignment horizontal="center"/>
    </xf>
    <xf numFmtId="0" fontId="13" fillId="0" borderId="84" xfId="0" applyFont="1" applyBorder="1" applyAlignment="1">
      <alignment horizontal="left" vertical="center" wrapText="1"/>
    </xf>
    <xf numFmtId="0" fontId="14" fillId="0" borderId="80"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3" xfId="0" applyFont="1" applyBorder="1" applyAlignment="1">
      <alignment horizontal="center" vertical="center" wrapText="1"/>
    </xf>
    <xf numFmtId="0" fontId="13" fillId="0" borderId="80" xfId="0" applyFont="1" applyBorder="1" applyAlignment="1">
      <alignment horizontal="left" vertical="center" wrapText="1"/>
    </xf>
    <xf numFmtId="0" fontId="13" fillId="0" borderId="0" xfId="0" applyFont="1" applyBorder="1" applyAlignment="1">
      <alignment horizontal="left" vertical="center" wrapText="1"/>
    </xf>
    <xf numFmtId="0" fontId="13" fillId="0" borderId="83" xfId="0" applyFont="1" applyBorder="1" applyAlignment="1">
      <alignment horizontal="left" vertical="center" wrapText="1"/>
    </xf>
    <xf numFmtId="0" fontId="14" fillId="0" borderId="79" xfId="0" applyFont="1" applyBorder="1" applyAlignment="1">
      <alignment horizontal="center" vertical="center" wrapText="1"/>
    </xf>
    <xf numFmtId="0" fontId="14" fillId="0" borderId="8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82" xfId="0" applyFont="1" applyBorder="1" applyAlignment="1">
      <alignment horizontal="center" vertical="center" wrapText="1"/>
    </xf>
    <xf numFmtId="0" fontId="14" fillId="0" borderId="19" xfId="0" applyFont="1" applyBorder="1" applyAlignment="1">
      <alignment horizontal="center" vertical="center" wrapText="1"/>
    </xf>
    <xf numFmtId="0" fontId="50" fillId="0" borderId="0" xfId="0" applyFont="1" applyBorder="1" applyAlignment="1">
      <alignment horizontal="left" vertical="center"/>
    </xf>
    <xf numFmtId="0" fontId="43" fillId="0" borderId="0" xfId="0" applyFont="1" applyAlignment="1">
      <alignment horizontal="center" vertical="center"/>
    </xf>
    <xf numFmtId="0" fontId="43" fillId="0" borderId="0" xfId="0" applyFont="1" applyAlignment="1">
      <alignment horizontal="left" wrapText="1"/>
    </xf>
    <xf numFmtId="0" fontId="14" fillId="0" borderId="0" xfId="0" applyFont="1" applyAlignment="1">
      <alignment horizontal="left" vertical="center" wrapText="1"/>
    </xf>
    <xf numFmtId="0" fontId="14" fillId="0" borderId="79" xfId="0" applyFont="1" applyBorder="1" applyAlignment="1">
      <alignment horizontal="center" vertical="center"/>
    </xf>
    <xf numFmtId="0" fontId="14" fillId="0" borderId="80" xfId="0" applyFont="1" applyBorder="1" applyAlignment="1">
      <alignment horizontal="center" vertical="center"/>
    </xf>
    <xf numFmtId="0" fontId="14" fillId="0" borderId="81" xfId="0" applyFont="1" applyBorder="1" applyAlignment="1">
      <alignment horizontal="center" vertical="center"/>
    </xf>
    <xf numFmtId="0" fontId="14" fillId="0" borderId="82" xfId="0" applyFont="1" applyBorder="1" applyAlignment="1">
      <alignment horizontal="center" vertical="center"/>
    </xf>
    <xf numFmtId="0" fontId="14" fillId="0" borderId="83" xfId="0" applyFont="1" applyBorder="1" applyAlignment="1">
      <alignment horizontal="center" vertical="center"/>
    </xf>
    <xf numFmtId="0" fontId="14" fillId="0" borderId="19" xfId="0" applyFont="1" applyBorder="1" applyAlignment="1">
      <alignment horizontal="center" vertical="center"/>
    </xf>
    <xf numFmtId="0" fontId="13" fillId="0" borderId="84" xfId="0" applyFont="1" applyBorder="1" applyAlignment="1">
      <alignment horizontal="left" vertical="center"/>
    </xf>
    <xf numFmtId="0" fontId="13" fillId="0" borderId="0" xfId="0" applyFont="1" applyBorder="1" applyAlignment="1">
      <alignment horizontal="left" vertical="top" wrapText="1"/>
    </xf>
    <xf numFmtId="0" fontId="0" fillId="0" borderId="83" xfId="0" applyBorder="1" applyAlignment="1">
      <alignment horizontal="center" vertical="center"/>
    </xf>
    <xf numFmtId="0" fontId="14" fillId="0" borderId="0" xfId="0" applyFont="1" applyAlignment="1">
      <alignment horizontal="left" vertical="center"/>
    </xf>
    <xf numFmtId="0" fontId="0" fillId="0" borderId="0" xfId="0" applyAlignment="1">
      <alignment horizontal="left" vertical="top" wrapText="1"/>
    </xf>
    <xf numFmtId="0" fontId="14" fillId="0" borderId="0" xfId="0" applyFont="1" applyFill="1" applyBorder="1" applyAlignment="1">
      <alignment horizontal="left" vertical="center" wrapText="1"/>
    </xf>
    <xf numFmtId="0" fontId="14" fillId="2" borderId="8"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4" fillId="0" borderId="53" xfId="0" applyFont="1" applyBorder="1" applyAlignment="1">
      <alignment horizontal="center" vertical="center" wrapText="1"/>
    </xf>
    <xf numFmtId="0" fontId="14" fillId="0" borderId="85" xfId="0" applyFont="1" applyBorder="1" applyAlignment="1">
      <alignment horizontal="center" vertical="center" wrapText="1"/>
    </xf>
    <xf numFmtId="0" fontId="13" fillId="0" borderId="86" xfId="0" applyFont="1" applyBorder="1" applyAlignment="1">
      <alignment horizontal="center" vertical="center" wrapText="1"/>
    </xf>
    <xf numFmtId="0" fontId="13" fillId="0" borderId="84" xfId="0" applyFont="1" applyBorder="1" applyAlignment="1">
      <alignment horizontal="center" vertical="center" wrapText="1"/>
    </xf>
    <xf numFmtId="0" fontId="13" fillId="0" borderId="82" xfId="0" applyFont="1" applyBorder="1" applyAlignment="1">
      <alignment horizontal="center" vertical="center" wrapText="1"/>
    </xf>
    <xf numFmtId="0" fontId="13" fillId="0" borderId="83" xfId="0" applyFont="1" applyBorder="1" applyAlignment="1">
      <alignment horizontal="center" vertical="center" wrapText="1"/>
    </xf>
    <xf numFmtId="0" fontId="13" fillId="0" borderId="85" xfId="0" applyFont="1" applyBorder="1" applyAlignment="1">
      <alignment horizontal="center" vertical="center" wrapText="1"/>
    </xf>
    <xf numFmtId="0" fontId="50" fillId="0" borderId="80" xfId="0" applyFont="1" applyBorder="1" applyAlignment="1">
      <alignment horizontal="left" vertical="center"/>
    </xf>
    <xf numFmtId="0" fontId="50" fillId="0" borderId="80" xfId="0" applyFont="1" applyBorder="1" applyAlignment="1">
      <alignment horizontal="left" vertical="center" wrapText="1"/>
    </xf>
    <xf numFmtId="0" fontId="50" fillId="0" borderId="0" xfId="0" applyFont="1" applyBorder="1" applyAlignment="1">
      <alignment horizontal="left" vertical="center" wrapText="1"/>
    </xf>
    <xf numFmtId="0" fontId="13" fillId="0" borderId="87" xfId="0" applyFont="1" applyBorder="1" applyAlignment="1">
      <alignment horizontal="center" vertical="center" wrapText="1"/>
    </xf>
    <xf numFmtId="0" fontId="13" fillId="0" borderId="80" xfId="0" applyFont="1" applyBorder="1" applyAlignment="1">
      <alignment horizontal="center" vertical="center" wrapText="1"/>
    </xf>
    <xf numFmtId="0" fontId="13" fillId="0" borderId="81" xfId="0" applyFont="1" applyBorder="1" applyAlignment="1">
      <alignment horizontal="center" vertical="center" wrapText="1"/>
    </xf>
    <xf numFmtId="0" fontId="13" fillId="0" borderId="21"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89" xfId="0" applyFont="1" applyBorder="1" applyAlignment="1">
      <alignment horizontal="center" vertical="center" wrapText="1"/>
    </xf>
    <xf numFmtId="2" fontId="56" fillId="0" borderId="49" xfId="0" applyNumberFormat="1" applyFont="1" applyBorder="1" applyAlignment="1">
      <alignment horizontal="center" vertical="center" wrapText="1"/>
    </xf>
    <xf numFmtId="2" fontId="56" fillId="0" borderId="29" xfId="0" applyNumberFormat="1" applyFont="1" applyBorder="1" applyAlignment="1">
      <alignment horizontal="center" vertical="center" wrapText="1"/>
    </xf>
    <xf numFmtId="2" fontId="56" fillId="0" borderId="62" xfId="0" applyNumberFormat="1" applyFont="1" applyBorder="1" applyAlignment="1">
      <alignment horizontal="center" vertical="center" wrapText="1"/>
    </xf>
    <xf numFmtId="0" fontId="13" fillId="0" borderId="79" xfId="0" applyFont="1" applyBorder="1" applyAlignment="1">
      <alignment horizontal="center" vertical="center" wrapText="1"/>
    </xf>
    <xf numFmtId="0" fontId="13" fillId="0" borderId="88"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90" xfId="0" applyFont="1" applyBorder="1" applyAlignment="1">
      <alignment horizontal="center" vertical="center" wrapText="1"/>
    </xf>
    <xf numFmtId="0" fontId="13" fillId="0" borderId="10" xfId="0" applyFont="1" applyBorder="1" applyAlignment="1">
      <alignment horizontal="center" vertical="center" wrapText="1"/>
    </xf>
    <xf numFmtId="0" fontId="14" fillId="0" borderId="20"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92" xfId="0" applyFont="1" applyBorder="1" applyAlignment="1">
      <alignment horizontal="center" vertical="center" wrapText="1"/>
    </xf>
    <xf numFmtId="0" fontId="14" fillId="0" borderId="7" xfId="0" applyFont="1" applyBorder="1" applyAlignment="1">
      <alignment horizontal="center" vertical="center" wrapText="1"/>
    </xf>
    <xf numFmtId="0" fontId="13" fillId="0" borderId="53" xfId="0" applyFont="1" applyBorder="1" applyAlignment="1">
      <alignment horizontal="center" vertical="center" wrapText="1"/>
    </xf>
    <xf numFmtId="0" fontId="13" fillId="0" borderId="19" xfId="0" applyFont="1" applyBorder="1" applyAlignment="1">
      <alignment horizontal="center" vertical="center" wrapText="1"/>
    </xf>
    <xf numFmtId="2" fontId="56" fillId="0" borderId="28" xfId="0" applyNumberFormat="1" applyFont="1" applyBorder="1" applyAlignment="1">
      <alignment horizontal="center" vertical="center" wrapText="1"/>
    </xf>
    <xf numFmtId="0" fontId="56" fillId="4" borderId="46" xfId="0" applyFont="1" applyFill="1" applyBorder="1" applyAlignment="1">
      <alignment horizontal="center" vertical="center" wrapText="1"/>
    </xf>
    <xf numFmtId="0" fontId="56" fillId="4" borderId="40" xfId="0" applyFont="1" applyFill="1" applyBorder="1" applyAlignment="1">
      <alignment horizontal="center" vertical="center" wrapText="1"/>
    </xf>
    <xf numFmtId="0" fontId="56" fillId="4" borderId="41" xfId="0" applyFont="1" applyFill="1" applyBorder="1" applyAlignment="1">
      <alignment horizontal="center" vertical="center" wrapText="1"/>
    </xf>
    <xf numFmtId="0" fontId="14" fillId="0" borderId="93" xfId="0" applyFont="1" applyBorder="1" applyAlignment="1">
      <alignment horizontal="center" vertical="center" wrapText="1"/>
    </xf>
    <xf numFmtId="0" fontId="14" fillId="0" borderId="94" xfId="0" applyFont="1" applyBorder="1" applyAlignment="1">
      <alignment horizontal="center" vertical="center" wrapText="1"/>
    </xf>
    <xf numFmtId="0" fontId="14" fillId="0" borderId="95" xfId="0" applyFont="1" applyBorder="1" applyAlignment="1">
      <alignment horizontal="center" vertical="center" wrapText="1"/>
    </xf>
    <xf numFmtId="0" fontId="56" fillId="4" borderId="43" xfId="0" applyFont="1" applyFill="1" applyBorder="1" applyAlignment="1">
      <alignment horizontal="center" vertical="center" wrapText="1"/>
    </xf>
    <xf numFmtId="0" fontId="56" fillId="4" borderId="44" xfId="0" applyFont="1" applyFill="1" applyBorder="1" applyAlignment="1">
      <alignment horizontal="center" vertical="center" wrapText="1"/>
    </xf>
    <xf numFmtId="0" fontId="56" fillId="4" borderId="47" xfId="0" applyFont="1" applyFill="1" applyBorder="1" applyAlignment="1">
      <alignment horizontal="center" vertical="center" wrapText="1"/>
    </xf>
    <xf numFmtId="0" fontId="56" fillId="4" borderId="45" xfId="0" applyFont="1" applyFill="1" applyBorder="1" applyAlignment="1">
      <alignment horizontal="center" vertical="center" wrapText="1"/>
    </xf>
    <xf numFmtId="0" fontId="56" fillId="4" borderId="32" xfId="0" applyFont="1" applyFill="1" applyBorder="1" applyAlignment="1">
      <alignment horizontal="center" vertical="center" wrapText="1"/>
    </xf>
    <xf numFmtId="0" fontId="56" fillId="4" borderId="37" xfId="0" applyFont="1" applyFill="1" applyBorder="1" applyAlignment="1">
      <alignment horizontal="center" vertical="center" wrapText="1"/>
    </xf>
    <xf numFmtId="0" fontId="0" fillId="0" borderId="0" xfId="0" applyAlignment="1">
      <alignment horizontal="left" vertical="center" wrapText="1"/>
    </xf>
    <xf numFmtId="0" fontId="13" fillId="0" borderId="96" xfId="0" applyFont="1" applyBorder="1" applyAlignment="1">
      <alignment horizontal="center" vertical="center" wrapText="1"/>
    </xf>
    <xf numFmtId="0" fontId="13" fillId="0" borderId="97" xfId="0" applyFont="1" applyBorder="1" applyAlignment="1">
      <alignment horizontal="center" vertical="center" wrapText="1"/>
    </xf>
    <xf numFmtId="0" fontId="13" fillId="0" borderId="39" xfId="0" applyFont="1" applyBorder="1" applyAlignment="1">
      <alignment horizontal="center" vertical="center" wrapText="1"/>
    </xf>
    <xf numFmtId="0" fontId="13" fillId="0" borderId="98" xfId="0" applyFont="1" applyBorder="1" applyAlignment="1">
      <alignment horizontal="center" vertical="center" wrapText="1"/>
    </xf>
    <xf numFmtId="0" fontId="13" fillId="0" borderId="99" xfId="0" applyFont="1" applyBorder="1" applyAlignment="1">
      <alignment horizontal="center" vertical="center" wrapText="1"/>
    </xf>
  </cellXfs>
  <cellStyles count="7">
    <cellStyle name="Hipervínculo" xfId="6" builtinId="8"/>
    <cellStyle name="Millares" xfId="1" builtinId="3"/>
    <cellStyle name="Moneda" xfId="2" builtinId="4"/>
    <cellStyle name="Normal" xfId="0" builtinId="0"/>
    <cellStyle name="Normal 2" xfId="4"/>
    <cellStyle name="Porcentaje" xfId="3" builtinId="5"/>
    <cellStyle name="Porcentaje 2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view3D>
      <c:rotX val="50"/>
      <c:rotY val="0"/>
      <c:depthPercent val="100"/>
      <c:rAngAx val="0"/>
      <c:perspective val="6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3.6804684232538687E-2"/>
          <c:y val="1.4890016920473773E-2"/>
          <c:w val="0.96319531576746131"/>
          <c:h val="0.84991459823867199"/>
        </c:manualLayout>
      </c:layout>
      <c:pie3DChart>
        <c:varyColors val="1"/>
        <c:ser>
          <c:idx val="0"/>
          <c:order val="0"/>
          <c:dPt>
            <c:idx val="0"/>
            <c:bubble3D val="0"/>
            <c:spPr>
              <a:solidFill>
                <a:schemeClr val="accent1"/>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1"/>
            <c:bubble3D val="0"/>
            <c:spPr>
              <a:solidFill>
                <a:schemeClr val="accent2"/>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2"/>
            <c:bubble3D val="0"/>
            <c:spPr>
              <a:solidFill>
                <a:schemeClr val="accent3"/>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3"/>
            <c:bubble3D val="0"/>
            <c:spPr>
              <a:solidFill>
                <a:schemeClr val="accent4"/>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4"/>
            <c:bubble3D val="0"/>
            <c:spPr>
              <a:solidFill>
                <a:schemeClr val="accent5"/>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5"/>
            <c:bubble3D val="0"/>
            <c:spPr>
              <a:solidFill>
                <a:schemeClr val="accent6"/>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6"/>
            <c:bubble3D val="0"/>
            <c:spPr>
              <a:solidFill>
                <a:schemeClr val="accent1">
                  <a:lumMod val="6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7"/>
            <c:bubble3D val="0"/>
            <c:spPr>
              <a:solidFill>
                <a:schemeClr val="accent2">
                  <a:lumMod val="6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8"/>
            <c:bubble3D val="0"/>
            <c:spPr>
              <a:solidFill>
                <a:schemeClr val="accent3">
                  <a:lumMod val="6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9"/>
            <c:bubble3D val="0"/>
            <c:spPr>
              <a:solidFill>
                <a:schemeClr val="accent4">
                  <a:lumMod val="6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10"/>
            <c:bubble3D val="0"/>
            <c:spPr>
              <a:solidFill>
                <a:schemeClr val="accent5">
                  <a:lumMod val="6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11"/>
            <c:bubble3D val="0"/>
            <c:spPr>
              <a:solidFill>
                <a:schemeClr val="accent6">
                  <a:lumMod val="6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12"/>
            <c:bubble3D val="0"/>
            <c:spPr>
              <a:solidFill>
                <a:schemeClr val="accent1">
                  <a:lumMod val="80000"/>
                  <a:lumOff val="2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13"/>
            <c:bubble3D val="0"/>
            <c:spPr>
              <a:solidFill>
                <a:schemeClr val="accent2">
                  <a:lumMod val="80000"/>
                  <a:lumOff val="2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14"/>
            <c:bubble3D val="0"/>
            <c:spPr>
              <a:solidFill>
                <a:schemeClr val="accent3">
                  <a:lumMod val="80000"/>
                  <a:lumOff val="2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15"/>
            <c:bubble3D val="0"/>
            <c:spPr>
              <a:solidFill>
                <a:schemeClr val="accent4">
                  <a:lumMod val="80000"/>
                  <a:lumOff val="2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16"/>
            <c:bubble3D val="0"/>
            <c:spPr>
              <a:solidFill>
                <a:schemeClr val="accent5">
                  <a:lumMod val="80000"/>
                  <a:lumOff val="2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17"/>
            <c:bubble3D val="0"/>
            <c:spPr>
              <a:solidFill>
                <a:schemeClr val="accent6">
                  <a:lumMod val="80000"/>
                  <a:lumOff val="2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18"/>
            <c:bubble3D val="0"/>
            <c:spPr>
              <a:solidFill>
                <a:schemeClr val="accent1">
                  <a:lumMod val="8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19"/>
            <c:bubble3D val="0"/>
            <c:spPr>
              <a:solidFill>
                <a:schemeClr val="accent2">
                  <a:lumMod val="8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20"/>
            <c:bubble3D val="0"/>
            <c:spPr>
              <a:solidFill>
                <a:schemeClr val="accent3">
                  <a:lumMod val="8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21"/>
            <c:bubble3D val="0"/>
            <c:spPr>
              <a:solidFill>
                <a:schemeClr val="accent4">
                  <a:lumMod val="8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22"/>
            <c:bubble3D val="0"/>
            <c:spPr>
              <a:solidFill>
                <a:schemeClr val="accent5">
                  <a:lumMod val="8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23"/>
            <c:bubble3D val="0"/>
            <c:spPr>
              <a:solidFill>
                <a:schemeClr val="accent6">
                  <a:lumMod val="8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24"/>
            <c:bubble3D val="0"/>
            <c:spPr>
              <a:solidFill>
                <a:schemeClr val="accent1">
                  <a:lumMod val="60000"/>
                  <a:lumOff val="4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25"/>
            <c:bubble3D val="0"/>
            <c:spPr>
              <a:solidFill>
                <a:schemeClr val="accent2">
                  <a:lumMod val="60000"/>
                  <a:lumOff val="4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26"/>
            <c:bubble3D val="0"/>
            <c:spPr>
              <a:solidFill>
                <a:schemeClr val="accent3">
                  <a:lumMod val="60000"/>
                  <a:lumOff val="4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27"/>
            <c:bubble3D val="0"/>
            <c:spPr>
              <a:solidFill>
                <a:schemeClr val="accent4">
                  <a:lumMod val="60000"/>
                  <a:lumOff val="4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28"/>
            <c:bubble3D val="0"/>
            <c:spPr>
              <a:solidFill>
                <a:schemeClr val="accent5">
                  <a:lumMod val="60000"/>
                  <a:lumOff val="4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29"/>
            <c:bubble3D val="0"/>
            <c:spPr>
              <a:solidFill>
                <a:schemeClr val="accent6">
                  <a:lumMod val="60000"/>
                  <a:lumOff val="4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30"/>
            <c:bubble3D val="0"/>
            <c:spPr>
              <a:solidFill>
                <a:schemeClr val="accent1">
                  <a:lumMod val="5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31"/>
            <c:bubble3D val="0"/>
            <c:spPr>
              <a:solidFill>
                <a:schemeClr val="accent2">
                  <a:lumMod val="5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32"/>
            <c:bubble3D val="0"/>
            <c:spPr>
              <a:solidFill>
                <a:schemeClr val="accent3">
                  <a:lumMod val="5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33"/>
            <c:bubble3D val="0"/>
            <c:spPr>
              <a:solidFill>
                <a:schemeClr val="accent4">
                  <a:lumMod val="5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34"/>
            <c:bubble3D val="0"/>
            <c:spPr>
              <a:solidFill>
                <a:schemeClr val="accent5">
                  <a:lumMod val="5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35"/>
            <c:bubble3D val="0"/>
            <c:spPr>
              <a:solidFill>
                <a:schemeClr val="accent6">
                  <a:lumMod val="5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36"/>
            <c:bubble3D val="0"/>
            <c:spPr>
              <a:solidFill>
                <a:schemeClr val="accent1">
                  <a:lumMod val="70000"/>
                  <a:lumOff val="3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37"/>
            <c:bubble3D val="0"/>
            <c:spPr>
              <a:solidFill>
                <a:schemeClr val="accent2">
                  <a:lumMod val="70000"/>
                  <a:lumOff val="3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38"/>
            <c:bubble3D val="0"/>
            <c:spPr>
              <a:solidFill>
                <a:schemeClr val="accent3">
                  <a:lumMod val="70000"/>
                  <a:lumOff val="3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39"/>
            <c:bubble3D val="0"/>
            <c:spPr>
              <a:solidFill>
                <a:schemeClr val="accent4">
                  <a:lumMod val="70000"/>
                  <a:lumOff val="3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40"/>
            <c:bubble3D val="0"/>
            <c:spPr>
              <a:solidFill>
                <a:schemeClr val="accent5">
                  <a:lumMod val="70000"/>
                  <a:lumOff val="3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41"/>
            <c:bubble3D val="0"/>
            <c:spPr>
              <a:solidFill>
                <a:schemeClr val="accent6">
                  <a:lumMod val="70000"/>
                  <a:lumOff val="3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Pt>
            <c:idx val="42"/>
            <c:bubble3D val="0"/>
            <c:spPr>
              <a:solidFill>
                <a:schemeClr val="accent1">
                  <a:lumMod val="70000"/>
                </a:schemeClr>
              </a:solidFill>
              <a:ln>
                <a:noFill/>
              </a:ln>
              <a:effectLst>
                <a:outerShdw blurRad="88900" sx="102000" sy="102000" algn="ctr" rotWithShape="0">
                  <a:prstClr val="black">
                    <a:alpha val="20000"/>
                  </a:prstClr>
                </a:outerShdw>
              </a:effectLst>
              <a:scene3d>
                <a:camera prst="orthographicFront"/>
                <a:lightRig rig="threePt" dir="t"/>
              </a:scene3d>
              <a:sp3d prstMaterial="matte"/>
            </c:spPr>
          </c:dPt>
          <c:dLbls>
            <c:dLbl>
              <c:idx val="2"/>
              <c:layout>
                <c:manualLayout>
                  <c:x val="-6.2542962363774752E-3"/>
                  <c:y val="4.7541522309711287E-2"/>
                </c:manualLayout>
              </c:layout>
              <c:dLblPos val="bestFit"/>
              <c:showLegendKey val="0"/>
              <c:showVal val="0"/>
              <c:showCatName val="1"/>
              <c:showSerName val="0"/>
              <c:showPercent val="1"/>
              <c:showBubbleSize val="0"/>
              <c:extLst>
                <c:ext xmlns:c15="http://schemas.microsoft.com/office/drawing/2012/chart" uri="{CE6537A1-D6FC-4f65-9D91-7224C49458BB}"/>
              </c:extLst>
            </c:dLbl>
            <c:dLbl>
              <c:idx val="40"/>
              <c:layout>
                <c:manualLayout>
                  <c:x val="0.10618514688264744"/>
                  <c:y val="4.5403569553805749E-2"/>
                </c:manualLayout>
              </c:layout>
              <c:dLblPos val="bestFit"/>
              <c:showLegendKey val="0"/>
              <c:showVal val="0"/>
              <c:showCatName val="1"/>
              <c:showSerName val="0"/>
              <c:showPercent val="1"/>
              <c:showBubbleSize val="0"/>
              <c:extLst>
                <c:ext xmlns:c15="http://schemas.microsoft.com/office/drawing/2012/chart" uri="{CE6537A1-D6FC-4f65-9D91-7224C49458BB}"/>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es-AR"/>
              </a:p>
            </c:txPr>
            <c:dLblPos val="inEnd"/>
            <c:showLegendKey val="0"/>
            <c:showVal val="0"/>
            <c:showCatName val="1"/>
            <c:showSerName val="0"/>
            <c:showPercent val="1"/>
            <c:showBubbleSize val="0"/>
            <c:showLeaderLines val="1"/>
            <c:leaderLines>
              <c:spPr>
                <a:ln w="9525" cap="flat" cmpd="sng" algn="ctr">
                  <a:solidFill>
                    <a:schemeClr val="dk1">
                      <a:lumMod val="35000"/>
                      <a:lumOff val="65000"/>
                    </a:schemeClr>
                  </a:solidFill>
                  <a:round/>
                </a:ln>
                <a:effectLst/>
              </c:spPr>
            </c:leaderLines>
            <c:extLst>
              <c:ext xmlns:c15="http://schemas.microsoft.com/office/drawing/2012/chart" uri="{CE6537A1-D6FC-4f65-9D91-7224C49458BB}"/>
            </c:extLst>
          </c:dLbls>
          <c:cat>
            <c:strRef>
              <c:f>GRAFICOS!$B$7:$B$49</c:f>
              <c:strCache>
                <c:ptCount val="43"/>
                <c:pt idx="0">
                  <c:v>TAREAS PRELIMINARES </c:v>
                </c:pt>
                <c:pt idx="2">
                  <c:v>MOVIMIENTOS DE SUELOS </c:v>
                </c:pt>
                <c:pt idx="4">
                  <c:v>HORMIGON ARMADO / CONTRAPISO</c:v>
                </c:pt>
                <c:pt idx="6">
                  <c:v>MAMPOSTERIA </c:v>
                </c:pt>
                <c:pt idx="8">
                  <c:v>AISLACIONES HIDROFUGAS</c:v>
                </c:pt>
                <c:pt idx="10">
                  <c:v>CUBIERTAS</c:v>
                </c:pt>
                <c:pt idx="12">
                  <c:v>DESAGÚES Y DRENAJES </c:v>
                </c:pt>
                <c:pt idx="14">
                  <c:v>REVOQUES</c:v>
                </c:pt>
                <c:pt idx="16">
                  <c:v>CONSTRUCCCION EN SECO</c:v>
                </c:pt>
                <c:pt idx="18">
                  <c:v>REVESTIMIENTOS</c:v>
                </c:pt>
                <c:pt idx="20">
                  <c:v>SOLADOS</c:v>
                </c:pt>
                <c:pt idx="22">
                  <c:v>ZOCALOS</c:v>
                </c:pt>
                <c:pt idx="24">
                  <c:v>CARPINTERÍA</c:v>
                </c:pt>
                <c:pt idx="26">
                  <c:v>INSTALACIÓN ELÉCTRICA </c:v>
                </c:pt>
                <c:pt idx="28">
                  <c:v>PINTURA </c:v>
                </c:pt>
                <c:pt idx="30">
                  <c:v>EQUIPAMIENTO/ MESADAS</c:v>
                </c:pt>
                <c:pt idx="32">
                  <c:v>INSTALACIÓN SANITARIA </c:v>
                </c:pt>
                <c:pt idx="34">
                  <c:v>VENTILACION TERMOMECANICA</c:v>
                </c:pt>
                <c:pt idx="36">
                  <c:v>SISTEMA DE DETECCION DE INCENDIO</c:v>
                </c:pt>
                <c:pt idx="38">
                  <c:v>PIPING AIRE COMPRIMIDO</c:v>
                </c:pt>
                <c:pt idx="40">
                  <c:v>LIMPIEZA GENERAL DE OBRA</c:v>
                </c:pt>
                <c:pt idx="42">
                  <c:v>VARIOS</c:v>
                </c:pt>
              </c:strCache>
            </c:strRef>
          </c:cat>
          <c:val>
            <c:numRef>
              <c:f>GRAFICOS!$C$7:$C$49</c:f>
              <c:numCache>
                <c:formatCode>General</c:formatCode>
                <c:ptCount val="43"/>
                <c:pt idx="0" formatCode="0.00%">
                  <c:v>3.8881525984612454E-2</c:v>
                </c:pt>
                <c:pt idx="2" formatCode="0.00%">
                  <c:v>3.1298611073053168E-3</c:v>
                </c:pt>
                <c:pt idx="4" formatCode="0.00%">
                  <c:v>0.16890535079484453</c:v>
                </c:pt>
                <c:pt idx="6" formatCode="0.00%">
                  <c:v>8.5379570731164353E-2</c:v>
                </c:pt>
                <c:pt idx="8" formatCode="0.00%">
                  <c:v>2.7707373398489017E-3</c:v>
                </c:pt>
                <c:pt idx="10" formatCode="0.00%">
                  <c:v>5.6107625700509617E-2</c:v>
                </c:pt>
                <c:pt idx="12" formatCode="0.00%">
                  <c:v>3.6729539451876543E-4</c:v>
                </c:pt>
                <c:pt idx="14" formatCode="0.00%">
                  <c:v>6.5948843380856534E-2</c:v>
                </c:pt>
                <c:pt idx="16" formatCode="0.00%">
                  <c:v>3.0587165220421948E-2</c:v>
                </c:pt>
                <c:pt idx="18" formatCode="0.00%">
                  <c:v>6.6134729059152148E-3</c:v>
                </c:pt>
                <c:pt idx="20" formatCode="0.00%">
                  <c:v>2.054035278632789E-2</c:v>
                </c:pt>
                <c:pt idx="22" formatCode="0.00%">
                  <c:v>1.9468766200956365E-3</c:v>
                </c:pt>
                <c:pt idx="24" formatCode="0.00%">
                  <c:v>7.6401999574736215E-2</c:v>
                </c:pt>
                <c:pt idx="26" formatCode="0.00%">
                  <c:v>0.12599418912909266</c:v>
                </c:pt>
                <c:pt idx="28" formatCode="0.00%">
                  <c:v>7.5829943066610075E-2</c:v>
                </c:pt>
                <c:pt idx="30" formatCode="0.00%">
                  <c:v>2.3495877421281643E-2</c:v>
                </c:pt>
                <c:pt idx="32" formatCode="0.00%">
                  <c:v>8.3154621111344917E-2</c:v>
                </c:pt>
                <c:pt idx="34" formatCode="0.00%">
                  <c:v>2.7119748505460284E-2</c:v>
                </c:pt>
                <c:pt idx="36" formatCode="0.00%">
                  <c:v>2.4273661674164499E-3</c:v>
                </c:pt>
                <c:pt idx="38" formatCode="0.00%">
                  <c:v>3.6012252749404984E-2</c:v>
                </c:pt>
                <c:pt idx="40" formatCode="0.00%">
                  <c:v>2.4987177867856005E-2</c:v>
                </c:pt>
                <c:pt idx="42" formatCode="0.00%">
                  <c:v>4.339814644037563E-2</c:v>
                </c:pt>
              </c:numCache>
            </c:numRef>
          </c:val>
        </c:ser>
        <c:dLbls>
          <c:dLblPos val="inEnd"/>
          <c:showLegendKey val="0"/>
          <c:showVal val="0"/>
          <c:showCatName val="1"/>
          <c:showSerName val="0"/>
          <c:showPercent val="0"/>
          <c:showBubbleSize val="0"/>
          <c:showLeaderLines val="1"/>
        </c:dLbls>
      </c:pie3DChart>
      <c:spPr>
        <a:noFill/>
        <a:ln>
          <a:noFill/>
        </a:ln>
        <a:effectLst/>
      </c:spPr>
    </c:plotArea>
    <c:legend>
      <c:legendPos val="b"/>
      <c:layout>
        <c:manualLayout>
          <c:xMode val="edge"/>
          <c:yMode val="edge"/>
          <c:x val="0.12230536512819468"/>
          <c:y val="0.71958152230971117"/>
          <c:w val="0.83158889924195112"/>
          <c:h val="0.28041847769028871"/>
        </c:manualLayout>
      </c:layout>
      <c:overlay val="0"/>
      <c:spPr>
        <a:solidFill>
          <a:schemeClr val="lt1">
            <a:alpha val="78000"/>
          </a:schemeClr>
        </a:solid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s-AR"/>
        </a:p>
      </c:txPr>
    </c:legend>
    <c:plotVisOnly val="1"/>
    <c:dispBlanksAs val="gap"/>
    <c:showDLblsOverMax val="0"/>
  </c:chart>
  <c:spPr>
    <a:pattFill prst="dkDnDiag">
      <a:fgClr>
        <a:schemeClr val="lt1">
          <a:lumMod val="95000"/>
        </a:schemeClr>
      </a:fgClr>
      <a:bgClr>
        <a:schemeClr val="lt1"/>
      </a:bgClr>
    </a:pattFill>
    <a:ln w="9525" cap="flat" cmpd="sng" algn="ctr">
      <a:solidFill>
        <a:schemeClr val="dk1">
          <a:lumMod val="15000"/>
          <a:lumOff val="85000"/>
        </a:schemeClr>
      </a:solidFill>
      <a:round/>
    </a:ln>
    <a:effectLst/>
  </c:spPr>
  <c:txPr>
    <a:bodyPr/>
    <a:lstStyle/>
    <a:p>
      <a:pPr>
        <a:defRPr/>
      </a:pPr>
      <a:endParaRPr lang="es-AR"/>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7</xdr:col>
      <xdr:colOff>266700</xdr:colOff>
      <xdr:row>0</xdr:row>
      <xdr:rowOff>129530</xdr:rowOff>
    </xdr:from>
    <xdr:ext cx="2358031" cy="594369"/>
    <xdr:pic>
      <xdr:nvPicPr>
        <xdr:cNvPr id="2" name="Imagen 1">
          <a:extLst>
            <a:ext uri="{FF2B5EF4-FFF2-40B4-BE49-F238E27FC236}">
              <a16:creationId xmlns=""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55100" y="129530"/>
          <a:ext cx="2358031" cy="594369"/>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3</xdr:col>
      <xdr:colOff>247650</xdr:colOff>
      <xdr:row>3</xdr:row>
      <xdr:rowOff>19050</xdr:rowOff>
    </xdr:from>
    <xdr:to>
      <xdr:col>12</xdr:col>
      <xdr:colOff>257175</xdr:colOff>
      <xdr:row>52</xdr:row>
      <xdr:rowOff>66675</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oneCellAnchor>
    <xdr:from>
      <xdr:col>8</xdr:col>
      <xdr:colOff>76200</xdr:colOff>
      <xdr:row>0</xdr:row>
      <xdr:rowOff>161925</xdr:rowOff>
    </xdr:from>
    <xdr:ext cx="1796885" cy="378110"/>
    <xdr:pic>
      <xdr:nvPicPr>
        <xdr:cNvPr id="2" name="Imagen 1">
          <a:extLst>
            <a:ext uri="{FF2B5EF4-FFF2-40B4-BE49-F238E27FC236}">
              <a16:creationId xmlns=""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448550" y="161925"/>
          <a:ext cx="1796885" cy="378110"/>
        </a:xfrm>
        <a:prstGeom prst="rect">
          <a:avLst/>
        </a:prstGeom>
      </xdr:spPr>
    </xdr:pic>
    <xdr:clientData/>
  </xdr:oneCellAnchor>
  <xdr:oneCellAnchor>
    <xdr:from>
      <xdr:col>8</xdr:col>
      <xdr:colOff>76200</xdr:colOff>
      <xdr:row>0</xdr:row>
      <xdr:rowOff>161925</xdr:rowOff>
    </xdr:from>
    <xdr:ext cx="1796885" cy="378110"/>
    <xdr:pic>
      <xdr:nvPicPr>
        <xdr:cNvPr id="3" name="Imagen 2">
          <a:extLst>
            <a:ext uri="{FF2B5EF4-FFF2-40B4-BE49-F238E27FC236}">
              <a16:creationId xmlns=""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096125" y="161925"/>
          <a:ext cx="1796885" cy="378110"/>
        </a:xfrm>
        <a:prstGeom prst="rect">
          <a:avLst/>
        </a:prstGeom>
      </xdr:spPr>
    </xdr:pic>
    <xdr:clientData/>
  </xdr:oneCellAnchor>
  <xdr:oneCellAnchor>
    <xdr:from>
      <xdr:col>8</xdr:col>
      <xdr:colOff>76200</xdr:colOff>
      <xdr:row>0</xdr:row>
      <xdr:rowOff>161925</xdr:rowOff>
    </xdr:from>
    <xdr:ext cx="1796885" cy="378110"/>
    <xdr:pic>
      <xdr:nvPicPr>
        <xdr:cNvPr id="4" name="Imagen 3">
          <a:extLst>
            <a:ext uri="{FF2B5EF4-FFF2-40B4-BE49-F238E27FC236}">
              <a16:creationId xmlns=""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096125" y="161925"/>
          <a:ext cx="1796885" cy="378110"/>
        </a:xfrm>
        <a:prstGeom prst="rect">
          <a:avLst/>
        </a:prstGeom>
      </xdr:spPr>
    </xdr:pic>
    <xdr:clientData/>
  </xdr:oneCellAnchor>
  <xdr:oneCellAnchor>
    <xdr:from>
      <xdr:col>8</xdr:col>
      <xdr:colOff>76200</xdr:colOff>
      <xdr:row>0</xdr:row>
      <xdr:rowOff>161925</xdr:rowOff>
    </xdr:from>
    <xdr:ext cx="1796885" cy="378110"/>
    <xdr:pic>
      <xdr:nvPicPr>
        <xdr:cNvPr id="5" name="Imagen 4">
          <a:extLst>
            <a:ext uri="{FF2B5EF4-FFF2-40B4-BE49-F238E27FC236}">
              <a16:creationId xmlns=""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096125" y="161925"/>
          <a:ext cx="1796885" cy="378110"/>
        </a:xfrm>
        <a:prstGeom prst="rect">
          <a:avLst/>
        </a:prstGeom>
      </xdr:spPr>
    </xdr:pic>
    <xdr:clientData/>
  </xdr:oneCellAnchor>
  <xdr:oneCellAnchor>
    <xdr:from>
      <xdr:col>8</xdr:col>
      <xdr:colOff>76200</xdr:colOff>
      <xdr:row>0</xdr:row>
      <xdr:rowOff>161925</xdr:rowOff>
    </xdr:from>
    <xdr:ext cx="1796885" cy="378110"/>
    <xdr:pic>
      <xdr:nvPicPr>
        <xdr:cNvPr id="6" name="Imagen 5">
          <a:extLst>
            <a:ext uri="{FF2B5EF4-FFF2-40B4-BE49-F238E27FC236}">
              <a16:creationId xmlns=""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096125" y="161925"/>
          <a:ext cx="1796885" cy="378110"/>
        </a:xfrm>
        <a:prstGeom prst="rect">
          <a:avLst/>
        </a:prstGeom>
      </xdr:spPr>
    </xdr:pic>
    <xdr:clientData/>
  </xdr:oneCellAnchor>
  <xdr:oneCellAnchor>
    <xdr:from>
      <xdr:col>8</xdr:col>
      <xdr:colOff>76200</xdr:colOff>
      <xdr:row>0</xdr:row>
      <xdr:rowOff>161925</xdr:rowOff>
    </xdr:from>
    <xdr:ext cx="1796885" cy="378110"/>
    <xdr:pic>
      <xdr:nvPicPr>
        <xdr:cNvPr id="7" name="Imagen 6">
          <a:extLst>
            <a:ext uri="{FF2B5EF4-FFF2-40B4-BE49-F238E27FC236}">
              <a16:creationId xmlns=""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096125" y="161925"/>
          <a:ext cx="1796885" cy="37811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6</xdr:col>
      <xdr:colOff>266700</xdr:colOff>
      <xdr:row>0</xdr:row>
      <xdr:rowOff>129530</xdr:rowOff>
    </xdr:from>
    <xdr:ext cx="2358031" cy="594369"/>
    <xdr:pic>
      <xdr:nvPicPr>
        <xdr:cNvPr id="2" name="Imagen 1">
          <a:extLst>
            <a:ext uri="{FF2B5EF4-FFF2-40B4-BE49-F238E27FC236}">
              <a16:creationId xmlns=""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182100" y="129530"/>
          <a:ext cx="2358031" cy="594369"/>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1</xdr:col>
      <xdr:colOff>9525</xdr:colOff>
      <xdr:row>182</xdr:row>
      <xdr:rowOff>76201</xdr:rowOff>
    </xdr:from>
    <xdr:to>
      <xdr:col>7</xdr:col>
      <xdr:colOff>686943</xdr:colOff>
      <xdr:row>182</xdr:row>
      <xdr:rowOff>104291</xdr:rowOff>
    </xdr:to>
    <xdr:pic>
      <xdr:nvPicPr>
        <xdr:cNvPr id="2" name="Picture 26"/>
        <xdr:cNvPicPr>
          <a:picLocks noChangeAspect="1" noChangeArrowheads="1"/>
        </xdr:cNvPicPr>
      </xdr:nvPicPr>
      <xdr:blipFill>
        <a:blip xmlns:r="http://schemas.openxmlformats.org/officeDocument/2006/relationships" r:embed="rId1" cstate="print"/>
        <a:srcRect/>
        <a:stretch>
          <a:fillRect/>
        </a:stretch>
      </xdr:blipFill>
      <xdr:spPr bwMode="auto">
        <a:xfrm>
          <a:off x="419100" y="37804726"/>
          <a:ext cx="5249418" cy="28090"/>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articulo.mercadolibre.com.ar/MLA-713995612-termotanque-acero-inox-electrico-e-200-litros-electrotermo-_JM" TargetMode="External"/><Relationship Id="rId1" Type="http://schemas.openxmlformats.org/officeDocument/2006/relationships/hyperlink" Target="https://articulo.mercadolibre.com.ar/MLA-649596784-ferrum-mingitorio-mural-antivandalico-corto-mmdj-_JM%20;https:/articulo.mercadolibre.com.ar/MLA-634217945-valvula-de-descarga-fv-36801-tecla-antivandalica-fv-349-_JM"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8" Type="http://schemas.openxmlformats.org/officeDocument/2006/relationships/hyperlink" Target="mailto:+@suma(J13:J22)" TargetMode="External"/><Relationship Id="rId13" Type="http://schemas.openxmlformats.org/officeDocument/2006/relationships/comments" Target="../comments3.xml"/><Relationship Id="rId3" Type="http://schemas.openxmlformats.org/officeDocument/2006/relationships/hyperlink" Target="mailto:+@suma(J13:J22)" TargetMode="External"/><Relationship Id="rId7" Type="http://schemas.openxmlformats.org/officeDocument/2006/relationships/hyperlink" Target="mailto:+@suma(J13:J22)" TargetMode="External"/><Relationship Id="rId12" Type="http://schemas.openxmlformats.org/officeDocument/2006/relationships/vmlDrawing" Target="../drawings/vmlDrawing3.vml"/><Relationship Id="rId2" Type="http://schemas.openxmlformats.org/officeDocument/2006/relationships/hyperlink" Target="mailto:+@suma(J13:J22)" TargetMode="External"/><Relationship Id="rId1" Type="http://schemas.openxmlformats.org/officeDocument/2006/relationships/hyperlink" Target="mailto:+@suma(J13:J22)" TargetMode="External"/><Relationship Id="rId6" Type="http://schemas.openxmlformats.org/officeDocument/2006/relationships/hyperlink" Target="mailto:+@suma(J13:J22)" TargetMode="External"/><Relationship Id="rId11" Type="http://schemas.openxmlformats.org/officeDocument/2006/relationships/drawing" Target="../drawings/drawing3.xml"/><Relationship Id="rId5" Type="http://schemas.openxmlformats.org/officeDocument/2006/relationships/hyperlink" Target="mailto:+@suma(J13:J22)" TargetMode="External"/><Relationship Id="rId10" Type="http://schemas.openxmlformats.org/officeDocument/2006/relationships/printerSettings" Target="../printerSettings/printerSettings3.bin"/><Relationship Id="rId4" Type="http://schemas.openxmlformats.org/officeDocument/2006/relationships/hyperlink" Target="mailto:+@suma(J13:J22)" TargetMode="External"/><Relationship Id="rId9" Type="http://schemas.openxmlformats.org/officeDocument/2006/relationships/hyperlink" Target="mailto:+@suma(J13:J22)"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P146"/>
  <sheetViews>
    <sheetView topLeftCell="A94" zoomScale="75" zoomScaleNormal="75" workbookViewId="0">
      <selection activeCell="C143" sqref="C143"/>
    </sheetView>
  </sheetViews>
  <sheetFormatPr baseColWidth="10" defaultRowHeight="15" x14ac:dyDescent="0.25"/>
  <cols>
    <col min="1" max="1" width="4.5703125" style="15" customWidth="1"/>
    <col min="2" max="2" width="9.42578125" style="36" customWidth="1"/>
    <col min="3" max="3" width="69.7109375" style="37" customWidth="1"/>
    <col min="4" max="4" width="10.140625" style="36" customWidth="1"/>
    <col min="5" max="5" width="10.5703125" customWidth="1"/>
    <col min="6" max="6" width="15.28515625" style="38" customWidth="1"/>
    <col min="7" max="7" width="14" style="39" customWidth="1"/>
    <col min="8" max="8" width="17.7109375" style="40" customWidth="1"/>
    <col min="9" max="9" width="22.42578125" customWidth="1"/>
    <col min="10" max="10" width="2.5703125" style="165" customWidth="1"/>
    <col min="11" max="11" width="41.5703125" customWidth="1"/>
    <col min="12" max="12" width="87.42578125" customWidth="1"/>
    <col min="13" max="13" width="20.7109375" customWidth="1"/>
    <col min="14" max="42" width="11" style="15"/>
  </cols>
  <sheetData>
    <row r="1" spans="2:13" ht="56.25" customHeight="1" x14ac:dyDescent="0.3">
      <c r="B1" s="174"/>
      <c r="C1" s="403" t="s">
        <v>481</v>
      </c>
      <c r="D1" s="403"/>
      <c r="E1" s="403"/>
      <c r="F1" s="9"/>
      <c r="G1" s="10"/>
      <c r="H1" s="11"/>
      <c r="I1" s="12"/>
    </row>
    <row r="2" spans="2:13" ht="31.5" customHeight="1" x14ac:dyDescent="0.3">
      <c r="B2" s="13"/>
      <c r="C2" s="404" t="s">
        <v>482</v>
      </c>
      <c r="D2" s="404"/>
      <c r="E2" s="404"/>
      <c r="F2" s="1"/>
      <c r="G2" s="2"/>
      <c r="H2" s="3"/>
      <c r="I2" s="14"/>
      <c r="J2" s="166"/>
      <c r="K2" s="7"/>
    </row>
    <row r="3" spans="2:13" ht="18.75" x14ac:dyDescent="0.3">
      <c r="B3" s="13"/>
      <c r="C3" s="404" t="s">
        <v>483</v>
      </c>
      <c r="D3" s="404"/>
      <c r="E3" s="404"/>
      <c r="F3" s="1"/>
      <c r="G3" s="2"/>
      <c r="H3" s="3"/>
      <c r="I3" s="14"/>
      <c r="J3" s="166"/>
      <c r="K3" s="7"/>
    </row>
    <row r="4" spans="2:13" ht="18.75" thickBot="1" x14ac:dyDescent="0.3">
      <c r="B4" s="175"/>
      <c r="C4" s="176"/>
      <c r="D4" s="301"/>
      <c r="E4" s="176"/>
      <c r="F4" s="176"/>
      <c r="G4" s="177"/>
      <c r="H4" s="176"/>
      <c r="I4" s="178"/>
      <c r="J4" s="166"/>
      <c r="K4" s="7"/>
    </row>
    <row r="5" spans="2:13" ht="15.75" thickBot="1" x14ac:dyDescent="0.3">
      <c r="B5" s="427" t="s">
        <v>8</v>
      </c>
      <c r="C5" s="419" t="s">
        <v>47</v>
      </c>
      <c r="D5" s="421" t="s">
        <v>46</v>
      </c>
      <c r="E5" s="419" t="s">
        <v>0</v>
      </c>
      <c r="F5" s="423" t="s">
        <v>1</v>
      </c>
      <c r="G5" s="425" t="s">
        <v>5</v>
      </c>
      <c r="H5" s="412" t="s">
        <v>2</v>
      </c>
      <c r="I5" s="414" t="s">
        <v>6</v>
      </c>
      <c r="J5" s="166"/>
      <c r="K5" s="416" t="s">
        <v>7</v>
      </c>
      <c r="L5" s="417"/>
      <c r="M5" s="418"/>
    </row>
    <row r="6" spans="2:13" ht="15.75" thickBot="1" x14ac:dyDescent="0.3">
      <c r="B6" s="428"/>
      <c r="C6" s="420"/>
      <c r="D6" s="422"/>
      <c r="E6" s="420"/>
      <c r="F6" s="424"/>
      <c r="G6" s="426"/>
      <c r="H6" s="413"/>
      <c r="I6" s="415"/>
      <c r="J6" s="167"/>
      <c r="K6" s="280" t="s">
        <v>284</v>
      </c>
      <c r="L6" s="281" t="s">
        <v>3</v>
      </c>
      <c r="M6" s="281" t="s">
        <v>286</v>
      </c>
    </row>
    <row r="7" spans="2:13" ht="15.75" thickBot="1" x14ac:dyDescent="0.3">
      <c r="B7" s="54" t="s">
        <v>469</v>
      </c>
      <c r="C7" s="398" t="s">
        <v>537</v>
      </c>
      <c r="D7" s="398"/>
      <c r="E7" s="398"/>
      <c r="F7" s="398"/>
      <c r="G7" s="398"/>
      <c r="H7" s="399"/>
      <c r="I7" s="16">
        <f>+H8+H9+H10</f>
        <v>153772.70000000001</v>
      </c>
      <c r="J7" s="168"/>
      <c r="K7" s="258">
        <f>I7/$I$125</f>
        <v>3.8881525984612454E-2</v>
      </c>
      <c r="L7" s="57"/>
      <c r="M7" s="57"/>
    </row>
    <row r="8" spans="2:13" ht="18.75" customHeight="1" x14ac:dyDescent="0.25">
      <c r="B8" s="179" t="s">
        <v>298</v>
      </c>
      <c r="C8" s="159" t="s">
        <v>360</v>
      </c>
      <c r="D8" s="302" t="s">
        <v>45</v>
      </c>
      <c r="E8" s="28">
        <v>15</v>
      </c>
      <c r="F8" s="29">
        <v>378.18</v>
      </c>
      <c r="G8" s="19">
        <v>1</v>
      </c>
      <c r="H8" s="20">
        <f>+F8*E8*G8</f>
        <v>5672.7</v>
      </c>
      <c r="I8" s="180"/>
      <c r="J8" s="171"/>
      <c r="K8" s="21" t="s">
        <v>48</v>
      </c>
      <c r="L8" s="22" t="s">
        <v>346</v>
      </c>
      <c r="M8" s="22"/>
    </row>
    <row r="9" spans="2:13" ht="23.25" customHeight="1" x14ac:dyDescent="0.25">
      <c r="B9" s="179" t="s">
        <v>299</v>
      </c>
      <c r="C9" s="217" t="s">
        <v>9</v>
      </c>
      <c r="D9" s="303" t="s">
        <v>4</v>
      </c>
      <c r="E9" s="17">
        <v>1</v>
      </c>
      <c r="F9" s="18">
        <v>110000</v>
      </c>
      <c r="G9" s="19">
        <v>1</v>
      </c>
      <c r="H9" s="20">
        <f>+F9*E9*G9</f>
        <v>110000</v>
      </c>
      <c r="I9" s="180"/>
      <c r="J9" s="169"/>
      <c r="K9" s="21"/>
      <c r="L9" s="26" t="s">
        <v>10</v>
      </c>
      <c r="M9" s="23"/>
    </row>
    <row r="10" spans="2:13" ht="33" customHeight="1" thickBot="1" x14ac:dyDescent="0.3">
      <c r="B10" s="179" t="s">
        <v>300</v>
      </c>
      <c r="C10" s="209" t="s">
        <v>297</v>
      </c>
      <c r="D10" s="304" t="s">
        <v>4</v>
      </c>
      <c r="E10" s="24">
        <v>1</v>
      </c>
      <c r="F10" s="25">
        <f>7620*5</f>
        <v>38100</v>
      </c>
      <c r="G10" s="19">
        <v>1</v>
      </c>
      <c r="H10" s="20">
        <f>+F10*E10*G10</f>
        <v>38100</v>
      </c>
      <c r="I10" s="180"/>
      <c r="J10" s="169"/>
      <c r="K10" s="21" t="s">
        <v>48</v>
      </c>
      <c r="L10" s="26" t="s">
        <v>418</v>
      </c>
      <c r="M10" s="22"/>
    </row>
    <row r="11" spans="2:13" ht="15.75" thickBot="1" x14ac:dyDescent="0.3">
      <c r="B11" s="54" t="s">
        <v>301</v>
      </c>
      <c r="C11" s="398" t="s">
        <v>296</v>
      </c>
      <c r="D11" s="398"/>
      <c r="E11" s="398"/>
      <c r="F11" s="398"/>
      <c r="G11" s="398"/>
      <c r="H11" s="399"/>
      <c r="I11" s="16">
        <f>SUM(H12:H12)</f>
        <v>12378.300000000001</v>
      </c>
      <c r="J11" s="171"/>
      <c r="K11" s="258">
        <f>+I11/$I$125</f>
        <v>3.1298611073053168E-3</v>
      </c>
      <c r="L11" s="57"/>
      <c r="M11" s="57"/>
    </row>
    <row r="12" spans="2:13" ht="15.75" thickBot="1" x14ac:dyDescent="0.3">
      <c r="B12" s="179" t="s">
        <v>302</v>
      </c>
      <c r="C12" s="157" t="s">
        <v>361</v>
      </c>
      <c r="D12" s="305" t="s">
        <v>45</v>
      </c>
      <c r="E12" s="226">
        <v>30</v>
      </c>
      <c r="F12" s="27">
        <v>412.61</v>
      </c>
      <c r="G12" s="19">
        <v>1</v>
      </c>
      <c r="H12" s="20">
        <f>+F12*E12*G12</f>
        <v>12378.300000000001</v>
      </c>
      <c r="I12" s="182"/>
      <c r="J12" s="168"/>
      <c r="K12" s="21" t="s">
        <v>317</v>
      </c>
      <c r="L12" s="22" t="s">
        <v>53</v>
      </c>
      <c r="M12" s="211"/>
    </row>
    <row r="13" spans="2:13" ht="15.75" thickBot="1" x14ac:dyDescent="0.3">
      <c r="B13" s="54" t="s">
        <v>315</v>
      </c>
      <c r="C13" s="398" t="s">
        <v>538</v>
      </c>
      <c r="D13" s="398"/>
      <c r="E13" s="398"/>
      <c r="F13" s="398"/>
      <c r="G13" s="398"/>
      <c r="H13" s="399"/>
      <c r="I13" s="16">
        <f>SUM(H15:H22)</f>
        <v>668004.43600000022</v>
      </c>
      <c r="J13" s="170"/>
      <c r="K13" s="258">
        <f>I13/I125</f>
        <v>0.16890535079484453</v>
      </c>
      <c r="L13" s="57"/>
      <c r="M13" s="57"/>
    </row>
    <row r="14" spans="2:13" ht="15.75" thickBot="1" x14ac:dyDescent="0.3">
      <c r="B14" s="54" t="s">
        <v>316</v>
      </c>
      <c r="C14" s="326" t="s">
        <v>572</v>
      </c>
      <c r="D14" s="326"/>
      <c r="E14" s="326"/>
      <c r="F14" s="326"/>
      <c r="G14" s="326"/>
      <c r="H14" s="326"/>
      <c r="I14" s="354"/>
      <c r="J14" s="170"/>
      <c r="K14" s="258"/>
      <c r="L14" s="57"/>
      <c r="M14" s="57"/>
    </row>
    <row r="15" spans="2:13" ht="29.25" customHeight="1" x14ac:dyDescent="0.25">
      <c r="B15" s="179" t="s">
        <v>504</v>
      </c>
      <c r="C15" s="217" t="s">
        <v>424</v>
      </c>
      <c r="D15" s="303" t="s">
        <v>45</v>
      </c>
      <c r="E15" s="17">
        <v>10</v>
      </c>
      <c r="F15" s="314">
        <f>7133.71+3552.12</f>
        <v>10685.83</v>
      </c>
      <c r="G15" s="19">
        <v>1</v>
      </c>
      <c r="H15" s="20">
        <f t="shared" ref="H15:H19" si="0">+F15*E15*G15</f>
        <v>106858.3</v>
      </c>
      <c r="I15" s="184"/>
      <c r="J15" s="170"/>
      <c r="K15" s="21" t="s">
        <v>48</v>
      </c>
      <c r="L15" s="22" t="s">
        <v>348</v>
      </c>
      <c r="M15" s="211">
        <v>43282</v>
      </c>
    </row>
    <row r="16" spans="2:13" ht="30.75" customHeight="1" x14ac:dyDescent="0.25">
      <c r="B16" s="183" t="s">
        <v>505</v>
      </c>
      <c r="C16" s="157" t="s">
        <v>272</v>
      </c>
      <c r="D16" s="302" t="s">
        <v>45</v>
      </c>
      <c r="E16" s="17">
        <v>6</v>
      </c>
      <c r="F16" s="29">
        <v>19262.669999999998</v>
      </c>
      <c r="G16" s="19">
        <v>1</v>
      </c>
      <c r="H16" s="20">
        <f t="shared" si="0"/>
        <v>115576.01999999999</v>
      </c>
      <c r="I16" s="180"/>
      <c r="J16" s="170"/>
      <c r="K16" s="21" t="s">
        <v>48</v>
      </c>
      <c r="L16" s="22" t="s">
        <v>349</v>
      </c>
      <c r="M16" s="211">
        <v>43282</v>
      </c>
    </row>
    <row r="17" spans="2:13" ht="30.75" customHeight="1" x14ac:dyDescent="0.25">
      <c r="B17" s="183" t="s">
        <v>506</v>
      </c>
      <c r="C17" s="157" t="s">
        <v>273</v>
      </c>
      <c r="D17" s="302" t="s">
        <v>45</v>
      </c>
      <c r="E17" s="17">
        <v>6</v>
      </c>
      <c r="F17" s="29">
        <v>14113.67</v>
      </c>
      <c r="G17" s="19">
        <v>1</v>
      </c>
      <c r="H17" s="20">
        <f t="shared" si="0"/>
        <v>84682.02</v>
      </c>
      <c r="I17" s="180"/>
      <c r="J17" s="170"/>
      <c r="K17" s="21" t="s">
        <v>48</v>
      </c>
      <c r="L17" s="22" t="s">
        <v>350</v>
      </c>
      <c r="M17" s="211">
        <v>43282</v>
      </c>
    </row>
    <row r="18" spans="2:13" ht="18" customHeight="1" x14ac:dyDescent="0.25">
      <c r="B18" s="183" t="s">
        <v>507</v>
      </c>
      <c r="C18" s="157" t="s">
        <v>274</v>
      </c>
      <c r="D18" s="302" t="s">
        <v>45</v>
      </c>
      <c r="E18" s="17">
        <v>8</v>
      </c>
      <c r="F18" s="29">
        <v>19247.57</v>
      </c>
      <c r="G18" s="19">
        <v>1</v>
      </c>
      <c r="H18" s="20">
        <f t="shared" si="0"/>
        <v>153980.56</v>
      </c>
      <c r="I18" s="180"/>
      <c r="J18" s="170"/>
      <c r="K18" s="21" t="s">
        <v>48</v>
      </c>
      <c r="L18" s="22" t="s">
        <v>351</v>
      </c>
      <c r="M18" s="211">
        <v>43282</v>
      </c>
    </row>
    <row r="19" spans="2:13" ht="30.75" customHeight="1" x14ac:dyDescent="0.25">
      <c r="B19" s="183" t="s">
        <v>508</v>
      </c>
      <c r="C19" s="157" t="s">
        <v>275</v>
      </c>
      <c r="D19" s="302" t="s">
        <v>45</v>
      </c>
      <c r="E19" s="17">
        <v>11.5</v>
      </c>
      <c r="F19" s="29">
        <v>12439.04</v>
      </c>
      <c r="G19" s="19">
        <v>1</v>
      </c>
      <c r="H19" s="20">
        <f t="shared" si="0"/>
        <v>143048.96000000002</v>
      </c>
      <c r="I19" s="180"/>
      <c r="J19" s="170"/>
      <c r="K19" s="21" t="s">
        <v>48</v>
      </c>
      <c r="L19" s="22" t="s">
        <v>352</v>
      </c>
      <c r="M19" s="211">
        <v>43282</v>
      </c>
    </row>
    <row r="20" spans="2:13" ht="24.75" customHeight="1" x14ac:dyDescent="0.25">
      <c r="B20" s="183" t="s">
        <v>510</v>
      </c>
      <c r="C20" s="157" t="s">
        <v>586</v>
      </c>
      <c r="D20" s="302" t="s">
        <v>45</v>
      </c>
      <c r="E20" s="17">
        <v>1.2</v>
      </c>
      <c r="F20" s="29">
        <v>10685.83</v>
      </c>
      <c r="G20" s="19">
        <v>1</v>
      </c>
      <c r="H20" s="20">
        <f t="shared" ref="H20:H21" si="1">+F20*E20*G20</f>
        <v>12822.995999999999</v>
      </c>
      <c r="I20" s="208"/>
      <c r="J20" s="170"/>
      <c r="K20" s="21" t="s">
        <v>48</v>
      </c>
      <c r="L20" s="22" t="s">
        <v>348</v>
      </c>
      <c r="M20" s="211">
        <v>43282</v>
      </c>
    </row>
    <row r="21" spans="2:13" ht="24.75" customHeight="1" x14ac:dyDescent="0.25">
      <c r="B21" s="183" t="s">
        <v>511</v>
      </c>
      <c r="C21" s="157" t="s">
        <v>365</v>
      </c>
      <c r="D21" s="302" t="s">
        <v>490</v>
      </c>
      <c r="E21" s="17">
        <v>22</v>
      </c>
      <c r="F21" s="29">
        <v>2164.66</v>
      </c>
      <c r="G21" s="19">
        <v>1</v>
      </c>
      <c r="H21" s="20">
        <f t="shared" si="1"/>
        <v>47622.52</v>
      </c>
      <c r="I21" s="208"/>
      <c r="J21" s="170"/>
      <c r="K21" s="21" t="s">
        <v>48</v>
      </c>
      <c r="L21" s="22" t="s">
        <v>575</v>
      </c>
      <c r="M21" s="211">
        <v>43282</v>
      </c>
    </row>
    <row r="22" spans="2:13" ht="28.5" customHeight="1" thickBot="1" x14ac:dyDescent="0.3">
      <c r="B22" s="183" t="s">
        <v>509</v>
      </c>
      <c r="C22" s="157" t="s">
        <v>364</v>
      </c>
      <c r="D22" s="302" t="s">
        <v>45</v>
      </c>
      <c r="E22" s="17">
        <v>14</v>
      </c>
      <c r="F22" s="29">
        <v>243.79</v>
      </c>
      <c r="G22" s="19">
        <v>1</v>
      </c>
      <c r="H22" s="20">
        <v>3413.06</v>
      </c>
      <c r="I22" s="208"/>
      <c r="J22" s="170"/>
      <c r="K22" s="21" t="s">
        <v>317</v>
      </c>
      <c r="L22" s="22" t="s">
        <v>373</v>
      </c>
      <c r="M22" s="211">
        <v>43282</v>
      </c>
    </row>
    <row r="23" spans="2:13" ht="15.75" thickBot="1" x14ac:dyDescent="0.3">
      <c r="B23" s="54" t="s">
        <v>304</v>
      </c>
      <c r="C23" s="398" t="s">
        <v>303</v>
      </c>
      <c r="D23" s="398"/>
      <c r="E23" s="398"/>
      <c r="F23" s="398"/>
      <c r="G23" s="398"/>
      <c r="H23" s="399"/>
      <c r="I23" s="16">
        <f>SUM(H24:H26)</f>
        <v>337668</v>
      </c>
      <c r="J23" s="171"/>
      <c r="K23" s="258">
        <f>I23/$I$125</f>
        <v>8.5379570731164353E-2</v>
      </c>
      <c r="L23" s="58"/>
      <c r="M23" s="58"/>
    </row>
    <row r="24" spans="2:13" x14ac:dyDescent="0.25">
      <c r="B24" s="179" t="s">
        <v>305</v>
      </c>
      <c r="C24" s="157" t="s">
        <v>491</v>
      </c>
      <c r="D24" s="302" t="s">
        <v>11</v>
      </c>
      <c r="E24" s="17">
        <v>285</v>
      </c>
      <c r="F24" s="30">
        <v>892.7</v>
      </c>
      <c r="G24" s="19">
        <v>1</v>
      </c>
      <c r="H24" s="20">
        <f>+F24*E24*G24</f>
        <v>254419.5</v>
      </c>
      <c r="I24" s="180"/>
      <c r="J24" s="171"/>
      <c r="K24" s="21" t="s">
        <v>317</v>
      </c>
      <c r="L24" s="22" t="s">
        <v>492</v>
      </c>
      <c r="M24" s="213">
        <v>43282</v>
      </c>
    </row>
    <row r="25" spans="2:13" x14ac:dyDescent="0.25">
      <c r="B25" s="179" t="s">
        <v>306</v>
      </c>
      <c r="C25" s="157" t="s">
        <v>374</v>
      </c>
      <c r="D25" s="302" t="s">
        <v>11</v>
      </c>
      <c r="E25" s="17">
        <v>120</v>
      </c>
      <c r="F25" s="30">
        <v>554.79</v>
      </c>
      <c r="G25" s="19">
        <v>1</v>
      </c>
      <c r="H25" s="20">
        <f>+F25*E25*G25</f>
        <v>66574.799999999988</v>
      </c>
      <c r="I25" s="180"/>
      <c r="J25" s="171"/>
      <c r="K25" s="21" t="s">
        <v>48</v>
      </c>
      <c r="L25" s="22" t="s">
        <v>375</v>
      </c>
      <c r="M25" s="213">
        <v>43282</v>
      </c>
    </row>
    <row r="26" spans="2:13" ht="15.75" thickBot="1" x14ac:dyDescent="0.3">
      <c r="B26" s="179" t="s">
        <v>419</v>
      </c>
      <c r="C26" s="325" t="s">
        <v>307</v>
      </c>
      <c r="D26" s="302" t="s">
        <v>11</v>
      </c>
      <c r="E26" s="17">
        <v>30</v>
      </c>
      <c r="F26" s="30">
        <v>555.79</v>
      </c>
      <c r="G26" s="19">
        <v>1</v>
      </c>
      <c r="H26" s="20">
        <f t="shared" ref="H26" si="2">+F26*E26*G26</f>
        <v>16673.699999999997</v>
      </c>
      <c r="I26" s="180"/>
      <c r="J26" s="171"/>
      <c r="K26" s="21" t="s">
        <v>318</v>
      </c>
      <c r="L26" s="22" t="s">
        <v>353</v>
      </c>
      <c r="M26" s="213">
        <v>43282</v>
      </c>
    </row>
    <row r="27" spans="2:13" ht="15.75" thickBot="1" x14ac:dyDescent="0.3">
      <c r="B27" s="54" t="s">
        <v>308</v>
      </c>
      <c r="C27" s="398" t="s">
        <v>362</v>
      </c>
      <c r="D27" s="398"/>
      <c r="E27" s="398"/>
      <c r="F27" s="398"/>
      <c r="G27" s="398"/>
      <c r="H27" s="399"/>
      <c r="I27" s="16">
        <f>SUM(H28:H29)</f>
        <v>10958</v>
      </c>
      <c r="J27" s="171"/>
      <c r="K27" s="258">
        <f>I27/$I$125</f>
        <v>2.7707373398489017E-3</v>
      </c>
      <c r="L27" s="57"/>
      <c r="M27" s="57"/>
    </row>
    <row r="28" spans="2:13" x14ac:dyDescent="0.25">
      <c r="B28" s="179" t="s">
        <v>309</v>
      </c>
      <c r="C28" s="157" t="s">
        <v>314</v>
      </c>
      <c r="D28" s="302" t="s">
        <v>11</v>
      </c>
      <c r="E28" s="28">
        <v>50</v>
      </c>
      <c r="F28" s="30">
        <v>177.91</v>
      </c>
      <c r="G28" s="19">
        <v>1</v>
      </c>
      <c r="H28" s="20">
        <f>+F28*E28*G28</f>
        <v>8895.5</v>
      </c>
      <c r="I28" s="180"/>
      <c r="J28" s="171"/>
      <c r="K28" s="21" t="s">
        <v>48</v>
      </c>
      <c r="L28" s="22" t="s">
        <v>354</v>
      </c>
      <c r="M28" s="213">
        <v>43282</v>
      </c>
    </row>
    <row r="29" spans="2:13" ht="30.75" customHeight="1" thickBot="1" x14ac:dyDescent="0.3">
      <c r="B29" s="179" t="s">
        <v>503</v>
      </c>
      <c r="C29" s="157" t="s">
        <v>425</v>
      </c>
      <c r="D29" s="306" t="s">
        <v>11</v>
      </c>
      <c r="E29" s="28">
        <v>100</v>
      </c>
      <c r="F29" s="30">
        <f>13.75*1.5</f>
        <v>20.625</v>
      </c>
      <c r="G29" s="19">
        <v>1</v>
      </c>
      <c r="H29" s="20">
        <f>+F29*E29*G29</f>
        <v>2062.5</v>
      </c>
      <c r="I29" s="208"/>
      <c r="J29" s="171"/>
      <c r="K29" s="355"/>
      <c r="L29" s="333" t="s">
        <v>386</v>
      </c>
      <c r="M29" s="213"/>
    </row>
    <row r="30" spans="2:13" ht="15.75" thickBot="1" x14ac:dyDescent="0.3">
      <c r="B30" s="54" t="s">
        <v>310</v>
      </c>
      <c r="C30" s="398" t="s">
        <v>35</v>
      </c>
      <c r="D30" s="398"/>
      <c r="E30" s="398"/>
      <c r="F30" s="398"/>
      <c r="G30" s="398"/>
      <c r="H30" s="399"/>
      <c r="I30" s="16">
        <f>SUM(H31:H32)</f>
        <v>221900.26949999999</v>
      </c>
      <c r="J30" s="171"/>
      <c r="K30" s="258">
        <f>I30/$I$125</f>
        <v>5.6107625700509617E-2</v>
      </c>
      <c r="L30" s="57"/>
      <c r="M30" s="57"/>
    </row>
    <row r="31" spans="2:13" x14ac:dyDescent="0.25">
      <c r="B31" s="233" t="s">
        <v>311</v>
      </c>
      <c r="C31" s="156" t="s">
        <v>467</v>
      </c>
      <c r="D31" s="307" t="s">
        <v>11</v>
      </c>
      <c r="E31" s="28">
        <v>90</v>
      </c>
      <c r="F31" s="227">
        <f>1806.27*1.3</f>
        <v>2348.1509999999998</v>
      </c>
      <c r="G31" s="235">
        <v>1</v>
      </c>
      <c r="H31" s="236">
        <f>+F31*E31*G31</f>
        <v>211333.59</v>
      </c>
      <c r="I31" s="237"/>
      <c r="J31" s="171"/>
      <c r="K31" s="21" t="s">
        <v>48</v>
      </c>
      <c r="L31" s="22" t="s">
        <v>466</v>
      </c>
      <c r="M31" s="213">
        <v>43282</v>
      </c>
    </row>
    <row r="32" spans="2:13" ht="15.75" thickBot="1" x14ac:dyDescent="0.3">
      <c r="B32" s="238" t="s">
        <v>312</v>
      </c>
      <c r="C32" s="157" t="s">
        <v>313</v>
      </c>
      <c r="D32" s="302" t="s">
        <v>15</v>
      </c>
      <c r="E32" s="28">
        <v>1</v>
      </c>
      <c r="F32" s="221">
        <f>0.05*H31</f>
        <v>10566.6795</v>
      </c>
      <c r="G32" s="239">
        <v>1</v>
      </c>
      <c r="H32" s="240">
        <f>+F32*E32*G32</f>
        <v>10566.6795</v>
      </c>
      <c r="I32" s="180"/>
      <c r="J32" s="171"/>
      <c r="K32" s="21" t="s">
        <v>426</v>
      </c>
      <c r="L32" s="22"/>
      <c r="M32" s="213"/>
    </row>
    <row r="33" spans="1:42" ht="15.75" thickBot="1" x14ac:dyDescent="0.3">
      <c r="B33" s="54" t="s">
        <v>279</v>
      </c>
      <c r="C33" s="398" t="s">
        <v>324</v>
      </c>
      <c r="D33" s="398"/>
      <c r="E33" s="398"/>
      <c r="F33" s="398"/>
      <c r="G33" s="398"/>
      <c r="H33" s="399"/>
      <c r="I33" s="16">
        <f>SUM(H34:H34)</f>
        <v>1452.6179999999999</v>
      </c>
      <c r="J33" s="171"/>
      <c r="K33" s="258">
        <f>I33/$I$125</f>
        <v>3.6729539451876543E-4</v>
      </c>
      <c r="L33" s="258"/>
      <c r="M33" s="258"/>
    </row>
    <row r="34" spans="1:42" ht="15.75" thickBot="1" x14ac:dyDescent="0.3">
      <c r="B34" s="179" t="s">
        <v>276</v>
      </c>
      <c r="C34" s="156" t="s">
        <v>355</v>
      </c>
      <c r="D34" s="303" t="s">
        <v>45</v>
      </c>
      <c r="E34" s="17">
        <f>10*0.3*0.6</f>
        <v>1.7999999999999998</v>
      </c>
      <c r="F34" s="210">
        <v>807.01</v>
      </c>
      <c r="G34" s="19">
        <v>1</v>
      </c>
      <c r="H34" s="20">
        <f>+F34*E34*G34</f>
        <v>1452.6179999999999</v>
      </c>
      <c r="I34" s="184"/>
      <c r="J34" s="171"/>
      <c r="K34" s="21" t="s">
        <v>51</v>
      </c>
      <c r="L34" s="22" t="s">
        <v>356</v>
      </c>
      <c r="M34" s="213">
        <v>43282</v>
      </c>
    </row>
    <row r="35" spans="1:42" ht="15.75" thickBot="1" x14ac:dyDescent="0.3">
      <c r="B35" s="54" t="s">
        <v>319</v>
      </c>
      <c r="C35" s="398" t="s">
        <v>321</v>
      </c>
      <c r="D35" s="398"/>
      <c r="E35" s="398"/>
      <c r="F35" s="398"/>
      <c r="G35" s="398"/>
      <c r="H35" s="399"/>
      <c r="I35" s="16">
        <f>SUM(H36:H38)</f>
        <v>260821.33999999997</v>
      </c>
      <c r="J35" s="171"/>
      <c r="K35" s="258">
        <f>I35/$I$125</f>
        <v>6.5948843380856534E-2</v>
      </c>
      <c r="L35" s="258"/>
      <c r="M35" s="258"/>
    </row>
    <row r="36" spans="1:42" x14ac:dyDescent="0.25">
      <c r="B36" s="233" t="s">
        <v>320</v>
      </c>
      <c r="C36" s="156" t="s">
        <v>493</v>
      </c>
      <c r="D36" s="307" t="s">
        <v>11</v>
      </c>
      <c r="E36" s="234">
        <v>260</v>
      </c>
      <c r="F36" s="227">
        <v>109.38</v>
      </c>
      <c r="G36" s="235">
        <v>1</v>
      </c>
      <c r="H36" s="236">
        <f>F36*E36</f>
        <v>28438.799999999999</v>
      </c>
      <c r="I36" s="237"/>
      <c r="J36" s="171"/>
      <c r="K36" s="21" t="s">
        <v>51</v>
      </c>
      <c r="L36" s="22" t="s">
        <v>496</v>
      </c>
      <c r="M36" s="213">
        <v>43282</v>
      </c>
    </row>
    <row r="37" spans="1:42" x14ac:dyDescent="0.25">
      <c r="B37" s="238" t="s">
        <v>322</v>
      </c>
      <c r="C37" s="157" t="s">
        <v>494</v>
      </c>
      <c r="D37" s="302" t="s">
        <v>11</v>
      </c>
      <c r="E37" s="28">
        <v>502</v>
      </c>
      <c r="F37" s="221">
        <v>234.72</v>
      </c>
      <c r="G37" s="239">
        <v>1</v>
      </c>
      <c r="H37" s="240">
        <f>E37*F37</f>
        <v>117829.44</v>
      </c>
      <c r="I37" s="180"/>
      <c r="J37" s="171"/>
      <c r="K37" s="21" t="s">
        <v>51</v>
      </c>
      <c r="L37" s="22" t="s">
        <v>497</v>
      </c>
      <c r="M37" s="213">
        <v>43282</v>
      </c>
    </row>
    <row r="38" spans="1:42" ht="15.75" thickBot="1" x14ac:dyDescent="0.3">
      <c r="B38" s="241" t="s">
        <v>420</v>
      </c>
      <c r="C38" s="242" t="s">
        <v>495</v>
      </c>
      <c r="D38" s="308" t="s">
        <v>11</v>
      </c>
      <c r="E38" s="188">
        <v>470</v>
      </c>
      <c r="F38" s="243">
        <v>243.73</v>
      </c>
      <c r="G38" s="244">
        <v>1</v>
      </c>
      <c r="H38" s="245">
        <f>+F38*E38*G41</f>
        <v>114553.09999999999</v>
      </c>
      <c r="I38" s="189"/>
      <c r="J38" s="171"/>
      <c r="K38" s="21" t="s">
        <v>51</v>
      </c>
      <c r="L38" s="22" t="s">
        <v>498</v>
      </c>
      <c r="M38" s="213">
        <v>43282</v>
      </c>
    </row>
    <row r="39" spans="1:42" ht="15.75" thickBot="1" x14ac:dyDescent="0.3">
      <c r="B39" s="54" t="s">
        <v>323</v>
      </c>
      <c r="C39" s="398" t="s">
        <v>470</v>
      </c>
      <c r="D39" s="398"/>
      <c r="E39" s="398"/>
      <c r="F39" s="398"/>
      <c r="G39" s="398"/>
      <c r="H39" s="399"/>
      <c r="I39" s="16">
        <f>SUM(H41)+H43</f>
        <v>120969.29999999999</v>
      </c>
      <c r="J39" s="171"/>
      <c r="K39" s="258">
        <f>I39/I125</f>
        <v>3.0587165220421948E-2</v>
      </c>
      <c r="L39" s="258"/>
      <c r="M39" s="258"/>
    </row>
    <row r="40" spans="1:42" ht="15.75" thickBot="1" x14ac:dyDescent="0.3">
      <c r="B40" s="54"/>
      <c r="C40" s="326" t="s">
        <v>479</v>
      </c>
      <c r="D40" s="310"/>
      <c r="E40" s="330"/>
      <c r="F40" s="8"/>
      <c r="G40" s="331"/>
      <c r="H40" s="353"/>
      <c r="I40" s="354"/>
      <c r="J40" s="171"/>
      <c r="K40" s="258"/>
      <c r="L40" s="258"/>
      <c r="M40" s="258"/>
    </row>
    <row r="41" spans="1:42" ht="15.75" thickBot="1" x14ac:dyDescent="0.3">
      <c r="B41" s="265" t="s">
        <v>325</v>
      </c>
      <c r="C41" s="35" t="s">
        <v>363</v>
      </c>
      <c r="D41" s="309" t="s">
        <v>11</v>
      </c>
      <c r="E41" s="234">
        <v>120</v>
      </c>
      <c r="F41" s="266">
        <v>432.64</v>
      </c>
      <c r="G41" s="267">
        <v>1</v>
      </c>
      <c r="H41" s="268">
        <f>+F41*E41*G41</f>
        <v>51916.799999999996</v>
      </c>
      <c r="I41" s="208"/>
      <c r="J41" s="171"/>
      <c r="K41" s="21" t="s">
        <v>48</v>
      </c>
      <c r="L41" s="22" t="s">
        <v>385</v>
      </c>
      <c r="M41" s="213">
        <v>43282</v>
      </c>
    </row>
    <row r="42" spans="1:42" ht="15.75" thickBot="1" x14ac:dyDescent="0.3">
      <c r="B42" s="54"/>
      <c r="C42" s="326" t="s">
        <v>326</v>
      </c>
      <c r="D42" s="310"/>
      <c r="E42" s="330"/>
      <c r="F42" s="8"/>
      <c r="G42" s="331"/>
      <c r="H42" s="353"/>
      <c r="I42" s="354"/>
      <c r="J42" s="171"/>
      <c r="K42" s="21"/>
      <c r="L42" s="22"/>
      <c r="M42" s="23"/>
    </row>
    <row r="43" spans="1:42" ht="24" customHeight="1" thickBot="1" x14ac:dyDescent="0.3">
      <c r="B43" s="179" t="s">
        <v>325</v>
      </c>
      <c r="C43" s="217" t="s">
        <v>329</v>
      </c>
      <c r="D43" s="303" t="s">
        <v>11</v>
      </c>
      <c r="E43" s="17">
        <f>4.65*3.3</f>
        <v>15.345000000000001</v>
      </c>
      <c r="F43" s="34">
        <v>4500</v>
      </c>
      <c r="G43" s="19">
        <v>1</v>
      </c>
      <c r="H43" s="20">
        <f>+F43*E43*G43</f>
        <v>69052.5</v>
      </c>
      <c r="I43" s="184"/>
      <c r="J43" s="171"/>
      <c r="K43" s="21" t="s">
        <v>280</v>
      </c>
      <c r="L43" s="22"/>
      <c r="M43" s="213">
        <v>43282</v>
      </c>
    </row>
    <row r="44" spans="1:42" ht="15.75" thickBot="1" x14ac:dyDescent="0.3">
      <c r="B44" s="54" t="s">
        <v>327</v>
      </c>
      <c r="C44" s="398" t="s">
        <v>366</v>
      </c>
      <c r="D44" s="398"/>
      <c r="E44" s="398"/>
      <c r="F44" s="398"/>
      <c r="G44" s="398"/>
      <c r="H44" s="399"/>
      <c r="I44" s="16">
        <f>SUM(H45:H46)</f>
        <v>26155.649999999998</v>
      </c>
      <c r="J44" s="171"/>
      <c r="K44" s="258">
        <f>I44/$I$125</f>
        <v>6.6134729059152148E-3</v>
      </c>
      <c r="L44" s="258"/>
      <c r="M44" s="258"/>
    </row>
    <row r="45" spans="1:42" ht="25.5" x14ac:dyDescent="0.25">
      <c r="B45" s="179" t="s">
        <v>328</v>
      </c>
      <c r="C45" s="157" t="s">
        <v>376</v>
      </c>
      <c r="D45" s="303" t="s">
        <v>11</v>
      </c>
      <c r="E45" s="17">
        <v>40</v>
      </c>
      <c r="F45" s="34">
        <f>(199.45*1.4)+189</f>
        <v>468.22999999999996</v>
      </c>
      <c r="G45" s="19">
        <v>1</v>
      </c>
      <c r="H45" s="20">
        <f>+F45*E45*G45</f>
        <v>18729.199999999997</v>
      </c>
      <c r="I45" s="184"/>
      <c r="J45" s="171"/>
      <c r="K45" s="21" t="s">
        <v>377</v>
      </c>
      <c r="L45" s="333" t="s">
        <v>378</v>
      </c>
      <c r="M45" s="334">
        <v>43282</v>
      </c>
    </row>
    <row r="46" spans="1:42" s="212" customFormat="1" ht="15.75" thickBot="1" x14ac:dyDescent="0.3">
      <c r="A46" s="15"/>
      <c r="B46" s="179" t="s">
        <v>513</v>
      </c>
      <c r="C46" s="157" t="s">
        <v>499</v>
      </c>
      <c r="D46" s="303" t="s">
        <v>11</v>
      </c>
      <c r="E46" s="17">
        <v>5</v>
      </c>
      <c r="F46" s="34">
        <v>1485.29</v>
      </c>
      <c r="G46" s="19">
        <v>1</v>
      </c>
      <c r="H46" s="20">
        <f>+F46*E46*G46</f>
        <v>7426.45</v>
      </c>
      <c r="I46" s="216"/>
      <c r="J46" s="171"/>
      <c r="K46" s="21" t="s">
        <v>48</v>
      </c>
      <c r="L46" s="333" t="s">
        <v>512</v>
      </c>
      <c r="M46" s="334">
        <v>43282</v>
      </c>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row>
    <row r="47" spans="1:42" ht="15.75" thickBot="1" x14ac:dyDescent="0.3">
      <c r="B47" s="54" t="s">
        <v>330</v>
      </c>
      <c r="C47" s="398" t="s">
        <v>332</v>
      </c>
      <c r="D47" s="398"/>
      <c r="E47" s="398"/>
      <c r="F47" s="398"/>
      <c r="G47" s="398"/>
      <c r="H47" s="399"/>
      <c r="I47" s="16">
        <f>SUM(H48:H49)</f>
        <v>81235.122000000003</v>
      </c>
      <c r="J47" s="171"/>
      <c r="K47" s="258">
        <f>I47/$I$125</f>
        <v>2.054035278632789E-2</v>
      </c>
      <c r="L47" s="57"/>
      <c r="M47" s="57"/>
    </row>
    <row r="48" spans="1:42" x14ac:dyDescent="0.25">
      <c r="B48" s="179" t="s">
        <v>427</v>
      </c>
      <c r="C48" s="156" t="s">
        <v>337</v>
      </c>
      <c r="D48" s="303" t="s">
        <v>11</v>
      </c>
      <c r="E48" s="17">
        <v>31</v>
      </c>
      <c r="F48" s="34">
        <f>(348.33*1.4)+189</f>
        <v>676.66199999999992</v>
      </c>
      <c r="G48" s="19">
        <v>1</v>
      </c>
      <c r="H48" s="20">
        <f>+F48*E48*G48</f>
        <v>20976.521999999997</v>
      </c>
      <c r="I48" s="184"/>
      <c r="J48" s="171"/>
      <c r="K48" s="21" t="s">
        <v>48</v>
      </c>
      <c r="L48" s="333" t="s">
        <v>380</v>
      </c>
      <c r="M48" s="334">
        <v>43282</v>
      </c>
    </row>
    <row r="49" spans="1:42" ht="26.25" thickBot="1" x14ac:dyDescent="0.3">
      <c r="B49" s="179" t="s">
        <v>514</v>
      </c>
      <c r="C49" s="157" t="s">
        <v>339</v>
      </c>
      <c r="D49" s="303" t="s">
        <v>14</v>
      </c>
      <c r="E49" s="17">
        <v>180</v>
      </c>
      <c r="F49" s="34">
        <v>334.77</v>
      </c>
      <c r="G49" s="19">
        <v>1</v>
      </c>
      <c r="H49" s="20">
        <f>+F49*E49*G49</f>
        <v>60258.6</v>
      </c>
      <c r="I49" s="184"/>
      <c r="J49" s="171"/>
      <c r="K49" s="21" t="s">
        <v>54</v>
      </c>
      <c r="L49" s="333" t="s">
        <v>379</v>
      </c>
      <c r="M49" s="334">
        <v>43282</v>
      </c>
    </row>
    <row r="50" spans="1:42" ht="15.75" thickBot="1" x14ac:dyDescent="0.3">
      <c r="B50" s="54" t="s">
        <v>331</v>
      </c>
      <c r="C50" s="398" t="s">
        <v>333</v>
      </c>
      <c r="D50" s="398"/>
      <c r="E50" s="398"/>
      <c r="F50" s="398"/>
      <c r="G50" s="398"/>
      <c r="H50" s="399"/>
      <c r="I50" s="16">
        <f>SUM(H51)</f>
        <v>7699.7099999999991</v>
      </c>
      <c r="J50" s="171"/>
      <c r="K50" s="258">
        <f>I50/$I$125</f>
        <v>1.9468766200956365E-3</v>
      </c>
      <c r="L50" s="258"/>
      <c r="M50" s="258"/>
    </row>
    <row r="51" spans="1:42" ht="15.75" thickBot="1" x14ac:dyDescent="0.3">
      <c r="B51" s="179" t="s">
        <v>338</v>
      </c>
      <c r="C51" s="157" t="s">
        <v>334</v>
      </c>
      <c r="D51" s="303" t="s">
        <v>12</v>
      </c>
      <c r="E51" s="17">
        <v>23</v>
      </c>
      <c r="F51" s="34">
        <v>334.77</v>
      </c>
      <c r="G51" s="19">
        <v>1</v>
      </c>
      <c r="H51" s="20">
        <f>+F51*E51*G51</f>
        <v>7699.7099999999991</v>
      </c>
      <c r="I51" s="184"/>
      <c r="J51" s="168"/>
      <c r="K51" s="21" t="s">
        <v>48</v>
      </c>
      <c r="L51" s="333" t="s">
        <v>50</v>
      </c>
      <c r="M51" s="334">
        <v>43282</v>
      </c>
    </row>
    <row r="52" spans="1:42" ht="15.75" thickBot="1" x14ac:dyDescent="0.3">
      <c r="B52" s="54" t="s">
        <v>335</v>
      </c>
      <c r="C52" s="398" t="s">
        <v>13</v>
      </c>
      <c r="D52" s="398"/>
      <c r="E52" s="398"/>
      <c r="F52" s="398"/>
      <c r="G52" s="398"/>
      <c r="H52" s="399"/>
      <c r="I52" s="16">
        <f>SUM(H53:H63)+I53</f>
        <v>302162.56853333331</v>
      </c>
      <c r="J52" s="171"/>
      <c r="K52" s="258">
        <f>I52/I125</f>
        <v>7.6401999574736215E-2</v>
      </c>
      <c r="L52" s="57"/>
      <c r="M52" s="57"/>
    </row>
    <row r="53" spans="1:42" s="212" customFormat="1" x14ac:dyDescent="0.25">
      <c r="A53" s="15"/>
      <c r="B53" s="214" t="s">
        <v>336</v>
      </c>
      <c r="C53" s="156" t="s">
        <v>367</v>
      </c>
      <c r="D53" s="302" t="s">
        <v>14</v>
      </c>
      <c r="E53" s="28">
        <v>2</v>
      </c>
      <c r="F53" s="34">
        <f>7079.6*1.2</f>
        <v>8495.52</v>
      </c>
      <c r="G53" s="19">
        <v>1</v>
      </c>
      <c r="H53" s="215">
        <f t="shared" ref="H53:H63" si="3">+F53*E53*G53</f>
        <v>16991.04</v>
      </c>
      <c r="I53" s="216"/>
      <c r="J53" s="169">
        <v>0.04</v>
      </c>
      <c r="K53" s="21" t="s">
        <v>48</v>
      </c>
      <c r="L53" s="333" t="s">
        <v>357</v>
      </c>
      <c r="M53" s="334">
        <v>43282</v>
      </c>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row>
    <row r="54" spans="1:42" s="212" customFormat="1" x14ac:dyDescent="0.25">
      <c r="A54" s="15"/>
      <c r="B54" s="214" t="s">
        <v>515</v>
      </c>
      <c r="C54" s="157" t="s">
        <v>368</v>
      </c>
      <c r="D54" s="302" t="s">
        <v>14</v>
      </c>
      <c r="E54" s="28">
        <v>1</v>
      </c>
      <c r="F54" s="34">
        <f>(7.44*3500/1.89)*1.2</f>
        <v>16533.333333333336</v>
      </c>
      <c r="G54" s="19">
        <v>1</v>
      </c>
      <c r="H54" s="215">
        <f t="shared" si="3"/>
        <v>16533.333333333336</v>
      </c>
      <c r="I54" s="216"/>
      <c r="J54" s="171"/>
      <c r="K54" s="21" t="s">
        <v>48</v>
      </c>
      <c r="L54" s="333" t="s">
        <v>358</v>
      </c>
      <c r="M54" s="334">
        <v>43282</v>
      </c>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row>
    <row r="55" spans="1:42" s="212" customFormat="1" x14ac:dyDescent="0.25">
      <c r="A55" s="15"/>
      <c r="B55" s="214" t="s">
        <v>516</v>
      </c>
      <c r="C55" s="157" t="s">
        <v>369</v>
      </c>
      <c r="D55" s="302" t="s">
        <v>14</v>
      </c>
      <c r="E55" s="28">
        <v>1</v>
      </c>
      <c r="F55" s="34">
        <f>4650*1.2</f>
        <v>5580</v>
      </c>
      <c r="G55" s="19">
        <v>1</v>
      </c>
      <c r="H55" s="215">
        <f t="shared" si="3"/>
        <v>5580</v>
      </c>
      <c r="I55" s="216"/>
      <c r="J55" s="171"/>
      <c r="K55" s="21" t="s">
        <v>48</v>
      </c>
      <c r="L55" s="333" t="s">
        <v>359</v>
      </c>
      <c r="M55" s="334">
        <v>43282</v>
      </c>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row>
    <row r="56" spans="1:42" s="212" customFormat="1" x14ac:dyDescent="0.25">
      <c r="A56" s="15"/>
      <c r="B56" s="214" t="s">
        <v>517</v>
      </c>
      <c r="C56" s="157" t="s">
        <v>417</v>
      </c>
      <c r="D56" s="302" t="s">
        <v>14</v>
      </c>
      <c r="E56" s="28">
        <v>4</v>
      </c>
      <c r="F56" s="34">
        <f>1500*1.2</f>
        <v>1800</v>
      </c>
      <c r="G56" s="19">
        <v>1</v>
      </c>
      <c r="H56" s="215">
        <f t="shared" si="3"/>
        <v>7200</v>
      </c>
      <c r="I56" s="216"/>
      <c r="J56" s="171"/>
      <c r="K56" s="21" t="s">
        <v>280</v>
      </c>
      <c r="L56" s="333"/>
      <c r="M56" s="334">
        <v>43282</v>
      </c>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row>
    <row r="57" spans="1:42" s="212" customFormat="1" x14ac:dyDescent="0.25">
      <c r="A57" s="15"/>
      <c r="B57" s="214" t="s">
        <v>518</v>
      </c>
      <c r="C57" s="157" t="s">
        <v>416</v>
      </c>
      <c r="D57" s="302" t="s">
        <v>14</v>
      </c>
      <c r="E57" s="28">
        <v>7</v>
      </c>
      <c r="F57" s="34">
        <f>1243*1.2</f>
        <v>1491.6</v>
      </c>
      <c r="G57" s="19">
        <v>1</v>
      </c>
      <c r="H57" s="215">
        <f t="shared" si="3"/>
        <v>10441.199999999999</v>
      </c>
      <c r="I57" s="216"/>
      <c r="J57" s="171"/>
      <c r="K57" s="21" t="s">
        <v>48</v>
      </c>
      <c r="L57" s="333" t="s">
        <v>52</v>
      </c>
      <c r="M57" s="334">
        <v>43282</v>
      </c>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row>
    <row r="58" spans="1:42" s="212" customFormat="1" x14ac:dyDescent="0.25">
      <c r="A58" s="15"/>
      <c r="B58" s="214" t="s">
        <v>519</v>
      </c>
      <c r="C58" s="157" t="s">
        <v>500</v>
      </c>
      <c r="D58" s="302" t="s">
        <v>14</v>
      </c>
      <c r="E58" s="28">
        <v>13</v>
      </c>
      <c r="F58" s="34">
        <f>2907.44*1.2</f>
        <v>3488.9279999999999</v>
      </c>
      <c r="G58" s="19">
        <v>1</v>
      </c>
      <c r="H58" s="215">
        <f t="shared" si="3"/>
        <v>45356.063999999998</v>
      </c>
      <c r="I58" s="216"/>
      <c r="J58" s="171"/>
      <c r="K58" s="21" t="s">
        <v>48</v>
      </c>
      <c r="L58" s="333" t="s">
        <v>524</v>
      </c>
      <c r="M58" s="334">
        <v>43282</v>
      </c>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row>
    <row r="59" spans="1:42" s="212" customFormat="1" x14ac:dyDescent="0.25">
      <c r="A59" s="15"/>
      <c r="B59" s="214" t="s">
        <v>520</v>
      </c>
      <c r="C59" s="157" t="s">
        <v>523</v>
      </c>
      <c r="D59" s="302" t="s">
        <v>14</v>
      </c>
      <c r="E59" s="28">
        <v>14</v>
      </c>
      <c r="F59" s="34">
        <f>3650.41*1.2</f>
        <v>4380.4919999999993</v>
      </c>
      <c r="G59" s="19">
        <v>1</v>
      </c>
      <c r="H59" s="215">
        <f t="shared" si="3"/>
        <v>61326.887999999992</v>
      </c>
      <c r="I59" s="216"/>
      <c r="J59" s="171"/>
      <c r="K59" s="21" t="s">
        <v>48</v>
      </c>
      <c r="L59" s="333" t="s">
        <v>543</v>
      </c>
      <c r="M59" s="334">
        <v>43282</v>
      </c>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row>
    <row r="60" spans="1:42" s="212" customFormat="1" x14ac:dyDescent="0.25">
      <c r="A60" s="15"/>
      <c r="B60" s="214" t="s">
        <v>521</v>
      </c>
      <c r="C60" s="157" t="s">
        <v>576</v>
      </c>
      <c r="D60" s="302" t="s">
        <v>14</v>
      </c>
      <c r="E60" s="28">
        <v>14</v>
      </c>
      <c r="F60" s="34">
        <f>2907.44*1.2</f>
        <v>3488.9279999999999</v>
      </c>
      <c r="G60" s="19">
        <v>1</v>
      </c>
      <c r="H60" s="215">
        <f t="shared" si="3"/>
        <v>48844.991999999998</v>
      </c>
      <c r="I60" s="216"/>
      <c r="J60" s="171"/>
      <c r="K60" s="21" t="s">
        <v>48</v>
      </c>
      <c r="L60" s="333" t="s">
        <v>524</v>
      </c>
      <c r="M60" s="334">
        <v>43282</v>
      </c>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row>
    <row r="61" spans="1:42" s="212" customFormat="1" x14ac:dyDescent="0.25">
      <c r="A61" s="15"/>
      <c r="B61" s="214" t="s">
        <v>522</v>
      </c>
      <c r="C61" s="157" t="s">
        <v>582</v>
      </c>
      <c r="D61" s="302" t="s">
        <v>14</v>
      </c>
      <c r="E61" s="28">
        <v>4</v>
      </c>
      <c r="F61" s="34">
        <f>+F59*1.1</f>
        <v>4818.5411999999997</v>
      </c>
      <c r="G61" s="19">
        <v>1</v>
      </c>
      <c r="H61" s="215">
        <f t="shared" si="3"/>
        <v>19274.164799999999</v>
      </c>
      <c r="I61" s="223"/>
      <c r="J61" s="171"/>
      <c r="K61" s="21" t="s">
        <v>48</v>
      </c>
      <c r="L61" s="333" t="s">
        <v>543</v>
      </c>
      <c r="M61" s="334"/>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row>
    <row r="62" spans="1:42" s="212" customFormat="1" x14ac:dyDescent="0.25">
      <c r="A62" s="15"/>
      <c r="B62" s="214" t="s">
        <v>584</v>
      </c>
      <c r="C62" s="157" t="s">
        <v>583</v>
      </c>
      <c r="D62" s="302" t="s">
        <v>14</v>
      </c>
      <c r="E62" s="28">
        <v>8</v>
      </c>
      <c r="F62" s="34">
        <f>2907.44*1.2*1.1</f>
        <v>3837.8208</v>
      </c>
      <c r="G62" s="19">
        <v>1</v>
      </c>
      <c r="H62" s="215">
        <f t="shared" si="3"/>
        <v>30702.5664</v>
      </c>
      <c r="I62" s="223"/>
      <c r="J62" s="171"/>
      <c r="K62" s="21" t="s">
        <v>48</v>
      </c>
      <c r="L62" s="333" t="s">
        <v>524</v>
      </c>
      <c r="M62" s="334"/>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row>
    <row r="63" spans="1:42" s="212" customFormat="1" ht="15.75" thickBot="1" x14ac:dyDescent="0.3">
      <c r="A63" s="15"/>
      <c r="B63" s="214" t="s">
        <v>585</v>
      </c>
      <c r="C63" s="157" t="s">
        <v>501</v>
      </c>
      <c r="D63" s="302" t="s">
        <v>11</v>
      </c>
      <c r="E63" s="207">
        <v>32</v>
      </c>
      <c r="F63" s="34">
        <v>1247.26</v>
      </c>
      <c r="G63" s="19">
        <v>1</v>
      </c>
      <c r="H63" s="215">
        <f t="shared" si="3"/>
        <v>39912.32</v>
      </c>
      <c r="I63" s="223"/>
      <c r="J63" s="171"/>
      <c r="K63" s="21" t="s">
        <v>48</v>
      </c>
      <c r="L63" s="333" t="s">
        <v>577</v>
      </c>
      <c r="M63" s="334">
        <v>43282</v>
      </c>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row>
    <row r="64" spans="1:42" ht="15.75" thickBot="1" x14ac:dyDescent="0.3">
      <c r="B64" s="54" t="s">
        <v>471</v>
      </c>
      <c r="C64" s="398" t="s">
        <v>16</v>
      </c>
      <c r="D64" s="398"/>
      <c r="E64" s="398"/>
      <c r="F64" s="398"/>
      <c r="G64" s="398"/>
      <c r="H64" s="399"/>
      <c r="I64" s="16">
        <f>SUM(H65:H74)</f>
        <v>498294.91399999999</v>
      </c>
      <c r="J64" s="168"/>
      <c r="K64" s="258">
        <f>I64/$I$125</f>
        <v>0.12599418912909266</v>
      </c>
      <c r="L64" s="57"/>
      <c r="M64" s="57"/>
    </row>
    <row r="65" spans="1:42" ht="25.5" customHeight="1" x14ac:dyDescent="0.25">
      <c r="B65" s="179" t="s">
        <v>525</v>
      </c>
      <c r="C65" s="209" t="s">
        <v>468</v>
      </c>
      <c r="D65" s="303" t="s">
        <v>4</v>
      </c>
      <c r="E65" s="219">
        <v>1</v>
      </c>
      <c r="F65" s="227">
        <v>30000</v>
      </c>
      <c r="G65" s="218">
        <v>1</v>
      </c>
      <c r="H65" s="222">
        <f>+F65*E65*G65</f>
        <v>30000</v>
      </c>
      <c r="I65" s="208"/>
      <c r="J65" s="170"/>
      <c r="K65" s="21"/>
      <c r="L65" s="397"/>
      <c r="M65" s="397"/>
    </row>
    <row r="66" spans="1:42" s="212" customFormat="1" ht="15.75" thickBot="1" x14ac:dyDescent="0.3">
      <c r="A66" s="15"/>
      <c r="B66" s="214" t="s">
        <v>428</v>
      </c>
      <c r="C66" s="209" t="s">
        <v>574</v>
      </c>
      <c r="D66" s="302" t="s">
        <v>14</v>
      </c>
      <c r="E66" s="219">
        <v>55</v>
      </c>
      <c r="F66" s="220">
        <v>6809</v>
      </c>
      <c r="G66" s="218">
        <v>1</v>
      </c>
      <c r="H66" s="222">
        <f>+F66*E66*G66</f>
        <v>374495</v>
      </c>
      <c r="I66" s="223"/>
      <c r="J66" s="171"/>
      <c r="K66" s="21" t="s">
        <v>48</v>
      </c>
      <c r="L66" s="22" t="s">
        <v>381</v>
      </c>
      <c r="M66" s="211">
        <v>43282</v>
      </c>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row>
    <row r="67" spans="1:42" s="212" customFormat="1" ht="15.75" thickBot="1" x14ac:dyDescent="0.3">
      <c r="A67" s="15"/>
      <c r="B67" s="54"/>
      <c r="C67" s="326" t="s">
        <v>370</v>
      </c>
      <c r="D67" s="310"/>
      <c r="E67" s="330"/>
      <c r="F67" s="8"/>
      <c r="G67" s="331"/>
      <c r="H67" s="353"/>
      <c r="I67" s="354"/>
      <c r="J67" s="171"/>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row>
    <row r="68" spans="1:42" s="212" customFormat="1" x14ac:dyDescent="0.25">
      <c r="A68" s="15"/>
      <c r="B68" s="214" t="s">
        <v>429</v>
      </c>
      <c r="C68" s="156" t="s">
        <v>371</v>
      </c>
      <c r="D68" s="302" t="s">
        <v>14</v>
      </c>
      <c r="E68" s="162">
        <v>11</v>
      </c>
      <c r="F68" s="227">
        <f>564.98*1.3</f>
        <v>734.47400000000005</v>
      </c>
      <c r="G68" s="218">
        <v>1</v>
      </c>
      <c r="H68" s="222">
        <f t="shared" ref="H68:H74" si="4">+F68*E68*G68</f>
        <v>8079.2140000000009</v>
      </c>
      <c r="I68" s="223"/>
      <c r="J68" s="171"/>
      <c r="K68" s="21" t="s">
        <v>48</v>
      </c>
      <c r="L68" s="22" t="s">
        <v>384</v>
      </c>
      <c r="M68" s="211">
        <v>43313</v>
      </c>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row>
    <row r="69" spans="1:42" ht="20.100000000000001" customHeight="1" x14ac:dyDescent="0.25">
      <c r="B69" s="214" t="s">
        <v>430</v>
      </c>
      <c r="C69" s="157" t="s">
        <v>401</v>
      </c>
      <c r="D69" s="302" t="s">
        <v>14</v>
      </c>
      <c r="E69" s="28">
        <v>23</v>
      </c>
      <c r="F69" s="34">
        <f>611.65*1.3</f>
        <v>795.14499999999998</v>
      </c>
      <c r="G69" s="19">
        <v>1</v>
      </c>
      <c r="H69" s="215">
        <f t="shared" si="4"/>
        <v>18288.334999999999</v>
      </c>
      <c r="I69" s="216"/>
      <c r="J69" s="170"/>
      <c r="K69" s="21" t="s">
        <v>403</v>
      </c>
      <c r="L69" s="22" t="s">
        <v>404</v>
      </c>
      <c r="M69" s="211">
        <v>43313</v>
      </c>
    </row>
    <row r="70" spans="1:42" ht="33" customHeight="1" x14ac:dyDescent="0.25">
      <c r="B70" s="214" t="s">
        <v>431</v>
      </c>
      <c r="C70" s="157" t="s">
        <v>400</v>
      </c>
      <c r="D70" s="302" t="s">
        <v>14</v>
      </c>
      <c r="E70" s="28">
        <v>6</v>
      </c>
      <c r="F70" s="34">
        <f>2910.6*1.3</f>
        <v>3783.78</v>
      </c>
      <c r="G70" s="19">
        <v>1</v>
      </c>
      <c r="H70" s="215">
        <f t="shared" si="4"/>
        <v>22702.68</v>
      </c>
      <c r="I70" s="216"/>
      <c r="J70" s="170"/>
      <c r="K70" s="21" t="s">
        <v>403</v>
      </c>
      <c r="L70" s="22" t="s">
        <v>404</v>
      </c>
      <c r="M70" s="211">
        <v>43313</v>
      </c>
    </row>
    <row r="71" spans="1:42" ht="47.25" customHeight="1" x14ac:dyDescent="0.25">
      <c r="B71" s="214" t="s">
        <v>544</v>
      </c>
      <c r="C71" s="157" t="s">
        <v>432</v>
      </c>
      <c r="D71" s="302" t="s">
        <v>14</v>
      </c>
      <c r="E71" s="28">
        <v>7</v>
      </c>
      <c r="F71" s="34">
        <f>770.85*1.3</f>
        <v>1002.105</v>
      </c>
      <c r="G71" s="19">
        <v>1</v>
      </c>
      <c r="H71" s="215">
        <f t="shared" si="4"/>
        <v>7014.7350000000006</v>
      </c>
      <c r="I71" s="216"/>
      <c r="J71" s="170"/>
      <c r="K71" s="21" t="s">
        <v>403</v>
      </c>
      <c r="L71" s="22" t="s">
        <v>404</v>
      </c>
      <c r="M71" s="211">
        <v>43313</v>
      </c>
    </row>
    <row r="72" spans="1:42" ht="66.75" customHeight="1" x14ac:dyDescent="0.25">
      <c r="B72" s="214" t="s">
        <v>545</v>
      </c>
      <c r="C72" s="157" t="s">
        <v>433</v>
      </c>
      <c r="D72" s="302" t="s">
        <v>14</v>
      </c>
      <c r="E72" s="28">
        <v>8</v>
      </c>
      <c r="F72" s="34">
        <f>2646*1.3</f>
        <v>3439.8</v>
      </c>
      <c r="G72" s="19">
        <v>1</v>
      </c>
      <c r="H72" s="215">
        <f t="shared" si="4"/>
        <v>27518.400000000001</v>
      </c>
      <c r="I72" s="216"/>
      <c r="J72" s="170"/>
      <c r="K72" s="21" t="s">
        <v>403</v>
      </c>
      <c r="L72" s="22" t="s">
        <v>404</v>
      </c>
      <c r="M72" s="211">
        <v>43313</v>
      </c>
    </row>
    <row r="73" spans="1:42" ht="20.100000000000001" customHeight="1" x14ac:dyDescent="0.25">
      <c r="B73" s="214" t="s">
        <v>546</v>
      </c>
      <c r="C73" s="157" t="s">
        <v>36</v>
      </c>
      <c r="D73" s="302" t="s">
        <v>14</v>
      </c>
      <c r="E73" s="162">
        <v>6</v>
      </c>
      <c r="F73" s="221">
        <f>708.75*1.3</f>
        <v>921.375</v>
      </c>
      <c r="G73" s="218">
        <v>1</v>
      </c>
      <c r="H73" s="222">
        <f t="shared" si="4"/>
        <v>5528.25</v>
      </c>
      <c r="I73" s="208"/>
      <c r="J73" s="170"/>
      <c r="K73" s="21" t="s">
        <v>403</v>
      </c>
      <c r="L73" s="22" t="s">
        <v>404</v>
      </c>
      <c r="M73" s="211">
        <v>43313</v>
      </c>
    </row>
    <row r="74" spans="1:42" ht="20.100000000000001" customHeight="1" thickBot="1" x14ac:dyDescent="0.3">
      <c r="B74" s="214" t="s">
        <v>547</v>
      </c>
      <c r="C74" s="157" t="s">
        <v>402</v>
      </c>
      <c r="D74" s="311" t="s">
        <v>14</v>
      </c>
      <c r="E74" s="228">
        <v>4</v>
      </c>
      <c r="F74" s="229">
        <f>897.75*1.3</f>
        <v>1167.075</v>
      </c>
      <c r="G74" s="230">
        <v>1</v>
      </c>
      <c r="H74" s="231">
        <f t="shared" si="4"/>
        <v>4668.3</v>
      </c>
      <c r="I74" s="208"/>
      <c r="J74" s="170"/>
      <c r="K74" s="21" t="s">
        <v>403</v>
      </c>
      <c r="L74" s="22" t="s">
        <v>404</v>
      </c>
      <c r="M74" s="211">
        <v>43313</v>
      </c>
    </row>
    <row r="75" spans="1:42" ht="15.75" thickBot="1" x14ac:dyDescent="0.3">
      <c r="B75" s="54" t="s">
        <v>472</v>
      </c>
      <c r="C75" s="398" t="s">
        <v>33</v>
      </c>
      <c r="D75" s="398"/>
      <c r="E75" s="398"/>
      <c r="F75" s="398"/>
      <c r="G75" s="398"/>
      <c r="H75" s="399"/>
      <c r="I75" s="16">
        <f>SUM(H76:H79)</f>
        <v>299900.14</v>
      </c>
      <c r="J75" s="171"/>
      <c r="K75" s="258">
        <f>I75/$I$125</f>
        <v>7.5829943066610075E-2</v>
      </c>
      <c r="L75" s="57"/>
      <c r="M75" s="57"/>
    </row>
    <row r="76" spans="1:42" x14ac:dyDescent="0.25">
      <c r="B76" s="335" t="s">
        <v>526</v>
      </c>
      <c r="C76" s="156" t="s">
        <v>340</v>
      </c>
      <c r="D76" s="302" t="s">
        <v>11</v>
      </c>
      <c r="E76" s="28">
        <f>+E36+E37</f>
        <v>762</v>
      </c>
      <c r="F76" s="34">
        <v>292.22000000000003</v>
      </c>
      <c r="G76" s="19">
        <v>1</v>
      </c>
      <c r="H76" s="20">
        <f>+F76*E76</f>
        <v>222671.64</v>
      </c>
      <c r="I76" s="180"/>
      <c r="J76" s="168"/>
      <c r="K76" s="21" t="s">
        <v>48</v>
      </c>
      <c r="L76" s="22" t="s">
        <v>502</v>
      </c>
      <c r="M76" s="211">
        <v>43282</v>
      </c>
    </row>
    <row r="77" spans="1:42" x14ac:dyDescent="0.25">
      <c r="B77" s="335" t="s">
        <v>342</v>
      </c>
      <c r="C77" s="157" t="s">
        <v>34</v>
      </c>
      <c r="D77" s="302" t="s">
        <v>11</v>
      </c>
      <c r="E77" s="17">
        <v>82</v>
      </c>
      <c r="F77" s="34">
        <v>400</v>
      </c>
      <c r="G77" s="19">
        <v>1</v>
      </c>
      <c r="H77" s="20">
        <f>+F77*E77</f>
        <v>32800</v>
      </c>
      <c r="I77" s="180"/>
      <c r="J77" s="172"/>
      <c r="K77" s="21" t="s">
        <v>48</v>
      </c>
      <c r="L77" s="22" t="s">
        <v>382</v>
      </c>
      <c r="M77" s="211">
        <v>43282</v>
      </c>
    </row>
    <row r="78" spans="1:42" ht="25.5" x14ac:dyDescent="0.25">
      <c r="B78" s="335" t="s">
        <v>343</v>
      </c>
      <c r="C78" s="157" t="s">
        <v>341</v>
      </c>
      <c r="D78" s="303" t="s">
        <v>11</v>
      </c>
      <c r="E78" s="17">
        <v>285</v>
      </c>
      <c r="F78" s="34">
        <v>132.1</v>
      </c>
      <c r="G78" s="19">
        <v>1</v>
      </c>
      <c r="H78" s="20">
        <f>+F78*E78</f>
        <v>37648.5</v>
      </c>
      <c r="I78" s="184"/>
      <c r="J78" s="172"/>
      <c r="K78" s="21" t="s">
        <v>48</v>
      </c>
      <c r="L78" s="22" t="s">
        <v>383</v>
      </c>
      <c r="M78" s="211">
        <v>43282</v>
      </c>
    </row>
    <row r="79" spans="1:42" ht="15.75" thickBot="1" x14ac:dyDescent="0.3">
      <c r="B79" s="335" t="s">
        <v>344</v>
      </c>
      <c r="C79" s="157" t="s">
        <v>345</v>
      </c>
      <c r="D79" s="303" t="s">
        <v>11</v>
      </c>
      <c r="E79" s="17">
        <v>100</v>
      </c>
      <c r="F79" s="34">
        <v>67.8</v>
      </c>
      <c r="G79" s="19">
        <v>1</v>
      </c>
      <c r="H79" s="33">
        <f>+F79*E79</f>
        <v>6780</v>
      </c>
      <c r="I79" s="184"/>
      <c r="J79" s="172"/>
      <c r="K79" s="21" t="s">
        <v>438</v>
      </c>
      <c r="L79" s="22"/>
      <c r="M79" s="22"/>
    </row>
    <row r="80" spans="1:42" ht="15.75" thickBot="1" x14ac:dyDescent="0.3">
      <c r="B80" s="54" t="s">
        <v>434</v>
      </c>
      <c r="C80" s="398" t="s">
        <v>55</v>
      </c>
      <c r="D80" s="398"/>
      <c r="E80" s="398"/>
      <c r="F80" s="398"/>
      <c r="G80" s="398"/>
      <c r="H80" s="399"/>
      <c r="I80" s="16">
        <f>SUM(H82:H88)</f>
        <v>92923.937999999995</v>
      </c>
      <c r="J80" s="168"/>
      <c r="K80" s="258">
        <f>I80/$I$125</f>
        <v>2.3495877421281643E-2</v>
      </c>
      <c r="L80" s="57"/>
      <c r="M80" s="57"/>
    </row>
    <row r="81" spans="2:13" ht="15.75" thickBot="1" x14ac:dyDescent="0.3">
      <c r="B81" s="54"/>
      <c r="C81" s="324" t="s">
        <v>441</v>
      </c>
      <c r="D81" s="310"/>
      <c r="E81" s="330"/>
      <c r="F81" s="8"/>
      <c r="G81" s="331"/>
      <c r="H81" s="353"/>
      <c r="I81" s="354"/>
      <c r="J81" s="168"/>
      <c r="K81" s="58"/>
      <c r="L81" s="57"/>
      <c r="M81" s="57"/>
    </row>
    <row r="82" spans="2:13" x14ac:dyDescent="0.25">
      <c r="B82" s="246" t="s">
        <v>435</v>
      </c>
      <c r="C82" s="247" t="s">
        <v>549</v>
      </c>
      <c r="D82" s="302" t="s">
        <v>14</v>
      </c>
      <c r="E82" s="28">
        <v>1</v>
      </c>
      <c r="F82" s="221">
        <v>8263.64</v>
      </c>
      <c r="G82" s="239">
        <v>1</v>
      </c>
      <c r="H82" s="240">
        <f>+F82*E82*G82</f>
        <v>8263.64</v>
      </c>
      <c r="I82" s="180"/>
      <c r="J82" s="170"/>
      <c r="K82" s="21" t="s">
        <v>48</v>
      </c>
      <c r="L82" s="22" t="s">
        <v>439</v>
      </c>
      <c r="M82" s="213">
        <v>43282</v>
      </c>
    </row>
    <row r="83" spans="2:13" x14ac:dyDescent="0.25">
      <c r="B83" s="246" t="s">
        <v>436</v>
      </c>
      <c r="C83" s="247" t="s">
        <v>443</v>
      </c>
      <c r="D83" s="302" t="s">
        <v>14</v>
      </c>
      <c r="E83" s="28">
        <v>1</v>
      </c>
      <c r="F83" s="221">
        <v>3387.61</v>
      </c>
      <c r="G83" s="239">
        <v>1</v>
      </c>
      <c r="H83" s="240">
        <f>+F83*E83*G83</f>
        <v>3387.61</v>
      </c>
      <c r="I83" s="180"/>
      <c r="J83" s="170"/>
      <c r="K83" s="21" t="s">
        <v>48</v>
      </c>
      <c r="L83" s="22" t="s">
        <v>440</v>
      </c>
      <c r="M83" s="213">
        <v>43282</v>
      </c>
    </row>
    <row r="84" spans="2:13" ht="15.75" thickBot="1" x14ac:dyDescent="0.3">
      <c r="B84" s="246" t="s">
        <v>437</v>
      </c>
      <c r="C84" s="328" t="s">
        <v>414</v>
      </c>
      <c r="D84" s="329" t="s">
        <v>14</v>
      </c>
      <c r="E84" s="28">
        <v>3</v>
      </c>
      <c r="F84" s="243">
        <f>2335.52*1.3</f>
        <v>3036.1759999999999</v>
      </c>
      <c r="G84" s="244">
        <v>1</v>
      </c>
      <c r="H84" s="245">
        <f>+F84*E84*G84</f>
        <v>9108.5280000000002</v>
      </c>
      <c r="I84" s="189"/>
      <c r="J84" s="170"/>
      <c r="K84" s="21" t="s">
        <v>48</v>
      </c>
      <c r="L84" s="22" t="s">
        <v>578</v>
      </c>
      <c r="M84" s="213">
        <v>43282</v>
      </c>
    </row>
    <row r="85" spans="2:13" ht="15.75" thickBot="1" x14ac:dyDescent="0.3">
      <c r="B85" s="54"/>
      <c r="C85" s="324" t="s">
        <v>442</v>
      </c>
      <c r="D85" s="310"/>
      <c r="E85" s="330"/>
      <c r="F85" s="8"/>
      <c r="G85" s="331"/>
      <c r="H85" s="332"/>
      <c r="I85" s="16"/>
      <c r="J85" s="168"/>
      <c r="K85" s="276"/>
      <c r="L85" s="15"/>
      <c r="M85" s="15"/>
    </row>
    <row r="86" spans="2:13" x14ac:dyDescent="0.25">
      <c r="B86" s="255" t="s">
        <v>550</v>
      </c>
      <c r="C86" s="232" t="s">
        <v>387</v>
      </c>
      <c r="D86" s="306" t="s">
        <v>11</v>
      </c>
      <c r="E86" s="224">
        <v>11</v>
      </c>
      <c r="F86" s="34">
        <f>3349.5+890</f>
        <v>4239.5</v>
      </c>
      <c r="G86" s="19">
        <v>1</v>
      </c>
      <c r="H86" s="20">
        <f>+F86*E86*G86</f>
        <v>46634.5</v>
      </c>
      <c r="I86" s="225"/>
      <c r="J86" s="170"/>
      <c r="K86" s="21" t="s">
        <v>388</v>
      </c>
      <c r="L86" s="22" t="s">
        <v>389</v>
      </c>
      <c r="M86" s="213">
        <v>43282</v>
      </c>
    </row>
    <row r="87" spans="2:13" x14ac:dyDescent="0.25">
      <c r="B87" s="255" t="s">
        <v>551</v>
      </c>
      <c r="C87" s="155" t="s">
        <v>56</v>
      </c>
      <c r="D87" s="311" t="s">
        <v>391</v>
      </c>
      <c r="E87" s="51">
        <v>14</v>
      </c>
      <c r="F87" s="30">
        <f>3349*0.1</f>
        <v>334.90000000000003</v>
      </c>
      <c r="G87" s="19">
        <v>1</v>
      </c>
      <c r="H87" s="20">
        <f>+F87*E87*G87</f>
        <v>4688.6000000000004</v>
      </c>
      <c r="I87" s="181"/>
      <c r="J87" s="170"/>
      <c r="K87" s="21" t="s">
        <v>388</v>
      </c>
      <c r="L87" s="22" t="s">
        <v>390</v>
      </c>
      <c r="M87" s="213">
        <v>43282</v>
      </c>
    </row>
    <row r="88" spans="2:13" ht="15.75" thickBot="1" x14ac:dyDescent="0.3">
      <c r="B88" s="255" t="s">
        <v>527</v>
      </c>
      <c r="C88" s="160" t="s">
        <v>281</v>
      </c>
      <c r="D88" s="304" t="s">
        <v>392</v>
      </c>
      <c r="E88" s="24">
        <f>3+2+3.38</f>
        <v>8.379999999999999</v>
      </c>
      <c r="F88" s="31">
        <v>2487</v>
      </c>
      <c r="G88" s="19">
        <v>1</v>
      </c>
      <c r="H88" s="20">
        <f>+F88*E88*G88</f>
        <v>20841.059999999998</v>
      </c>
      <c r="I88" s="181"/>
      <c r="J88" s="170"/>
      <c r="K88" s="21" t="s">
        <v>388</v>
      </c>
      <c r="L88" s="22" t="s">
        <v>393</v>
      </c>
      <c r="M88" s="213">
        <v>43282</v>
      </c>
    </row>
    <row r="89" spans="2:13" ht="15.75" thickBot="1" x14ac:dyDescent="0.3">
      <c r="B89" s="54" t="s">
        <v>444</v>
      </c>
      <c r="C89" s="398" t="s">
        <v>37</v>
      </c>
      <c r="D89" s="398"/>
      <c r="E89" s="398"/>
      <c r="F89" s="398"/>
      <c r="G89" s="398"/>
      <c r="H89" s="399"/>
      <c r="I89" s="16">
        <f>SUM(H90:H106)</f>
        <v>328868.53800000006</v>
      </c>
      <c r="K89" s="258">
        <f>I89/$I$125</f>
        <v>8.3154621111344917E-2</v>
      </c>
      <c r="L89" s="57"/>
      <c r="M89" s="57"/>
    </row>
    <row r="90" spans="2:13" ht="25.5" x14ac:dyDescent="0.25">
      <c r="B90" s="256" t="s">
        <v>445</v>
      </c>
      <c r="C90" s="248" t="s">
        <v>38</v>
      </c>
      <c r="D90" s="307" t="s">
        <v>4</v>
      </c>
      <c r="E90" s="234">
        <v>1</v>
      </c>
      <c r="F90" s="227">
        <f>39417+120405.59</f>
        <v>159822.59</v>
      </c>
      <c r="G90" s="235">
        <v>1</v>
      </c>
      <c r="H90" s="236">
        <f>+F90*E90*G90</f>
        <v>159822.59</v>
      </c>
      <c r="I90" s="237"/>
      <c r="K90" s="21" t="s">
        <v>48</v>
      </c>
      <c r="L90" s="22" t="s">
        <v>488</v>
      </c>
      <c r="M90" s="22"/>
    </row>
    <row r="91" spans="2:13" x14ac:dyDescent="0.25">
      <c r="B91" s="257" t="s">
        <v>446</v>
      </c>
      <c r="C91" s="249" t="s">
        <v>573</v>
      </c>
      <c r="D91" s="302" t="s">
        <v>14</v>
      </c>
      <c r="E91" s="28">
        <v>2</v>
      </c>
      <c r="F91" s="221">
        <v>2254.33</v>
      </c>
      <c r="G91" s="239">
        <v>1</v>
      </c>
      <c r="H91" s="240">
        <f>+F91*E91*G91</f>
        <v>4508.66</v>
      </c>
      <c r="I91" s="180"/>
      <c r="K91" s="21" t="s">
        <v>48</v>
      </c>
      <c r="L91" s="22" t="s">
        <v>579</v>
      </c>
      <c r="M91" s="211">
        <v>43282</v>
      </c>
    </row>
    <row r="92" spans="2:13" ht="30.75" customHeight="1" thickBot="1" x14ac:dyDescent="0.3">
      <c r="B92" s="257" t="s">
        <v>447</v>
      </c>
      <c r="C92" s="250" t="s">
        <v>415</v>
      </c>
      <c r="D92" s="311" t="s">
        <v>14</v>
      </c>
      <c r="E92" s="51">
        <v>1</v>
      </c>
      <c r="F92" s="229">
        <v>57160</v>
      </c>
      <c r="G92" s="251">
        <v>1</v>
      </c>
      <c r="H92" s="252">
        <f>+F92*E92*G92</f>
        <v>57160</v>
      </c>
      <c r="I92" s="187"/>
      <c r="K92" s="21" t="s">
        <v>553</v>
      </c>
      <c r="L92" s="405" t="s">
        <v>580</v>
      </c>
      <c r="M92" s="406"/>
    </row>
    <row r="93" spans="2:13" ht="31.5" customHeight="1" thickBot="1" x14ac:dyDescent="0.3">
      <c r="B93" s="54"/>
      <c r="C93" s="326" t="s">
        <v>39</v>
      </c>
      <c r="D93" s="310"/>
      <c r="E93" s="330"/>
      <c r="F93" s="8"/>
      <c r="G93" s="331"/>
      <c r="H93" s="353"/>
      <c r="I93" s="354"/>
    </row>
    <row r="94" spans="2:13" x14ac:dyDescent="0.25">
      <c r="B94" s="253" t="s">
        <v>448</v>
      </c>
      <c r="C94" s="217" t="s">
        <v>394</v>
      </c>
      <c r="D94" s="303" t="s">
        <v>14</v>
      </c>
      <c r="E94" s="17">
        <v>4</v>
      </c>
      <c r="F94" s="254">
        <f>1968.72+541.92+1127+3935</f>
        <v>7572.6399999999994</v>
      </c>
      <c r="G94" s="19">
        <v>1</v>
      </c>
      <c r="H94" s="20">
        <f t="shared" ref="H94:H102" si="5">+F94*E94*G94</f>
        <v>30290.559999999998</v>
      </c>
      <c r="I94" s="184"/>
      <c r="K94" s="21" t="s">
        <v>398</v>
      </c>
      <c r="L94" s="22" t="s">
        <v>399</v>
      </c>
      <c r="M94" s="211">
        <v>42917</v>
      </c>
    </row>
    <row r="95" spans="2:13" x14ac:dyDescent="0.25">
      <c r="B95" s="253" t="s">
        <v>449</v>
      </c>
      <c r="C95" s="157" t="s">
        <v>554</v>
      </c>
      <c r="D95" s="302" t="s">
        <v>14</v>
      </c>
      <c r="E95" s="28">
        <v>4</v>
      </c>
      <c r="F95" s="221">
        <v>1367.62</v>
      </c>
      <c r="G95" s="239">
        <v>1</v>
      </c>
      <c r="H95" s="240">
        <f t="shared" si="5"/>
        <v>5470.48</v>
      </c>
      <c r="I95" s="180"/>
      <c r="K95" s="21" t="s">
        <v>553</v>
      </c>
      <c r="L95" s="22" t="s">
        <v>552</v>
      </c>
      <c r="M95" s="22"/>
    </row>
    <row r="96" spans="2:13" x14ac:dyDescent="0.25">
      <c r="B96" s="253" t="s">
        <v>450</v>
      </c>
      <c r="C96" s="157" t="s">
        <v>40</v>
      </c>
      <c r="D96" s="302" t="s">
        <v>14</v>
      </c>
      <c r="E96" s="28">
        <v>4</v>
      </c>
      <c r="F96" s="221">
        <v>2018</v>
      </c>
      <c r="G96" s="239">
        <v>1</v>
      </c>
      <c r="H96" s="240">
        <f t="shared" si="5"/>
        <v>8072</v>
      </c>
      <c r="I96" s="180"/>
      <c r="K96" s="21" t="s">
        <v>541</v>
      </c>
      <c r="L96" s="22" t="s">
        <v>542</v>
      </c>
      <c r="M96" s="22"/>
    </row>
    <row r="97" spans="2:13" ht="39.75" customHeight="1" x14ac:dyDescent="0.25">
      <c r="B97" s="253" t="s">
        <v>451</v>
      </c>
      <c r="C97" s="157" t="s">
        <v>372</v>
      </c>
      <c r="D97" s="302" t="s">
        <v>14</v>
      </c>
      <c r="E97" s="28">
        <v>2</v>
      </c>
      <c r="F97" s="221">
        <f>(9938.68+6200)*1.3</f>
        <v>20980.284</v>
      </c>
      <c r="G97" s="239">
        <v>1</v>
      </c>
      <c r="H97" s="240">
        <f t="shared" si="5"/>
        <v>41960.567999999999</v>
      </c>
      <c r="I97" s="180"/>
      <c r="K97" s="21" t="s">
        <v>553</v>
      </c>
      <c r="L97" s="396" t="s">
        <v>555</v>
      </c>
      <c r="M97" s="396"/>
    </row>
    <row r="98" spans="2:13" ht="23.25" customHeight="1" x14ac:dyDescent="0.25">
      <c r="B98" s="253" t="s">
        <v>452</v>
      </c>
      <c r="C98" s="157" t="s">
        <v>556</v>
      </c>
      <c r="D98" s="302" t="s">
        <v>14</v>
      </c>
      <c r="E98" s="28">
        <v>3</v>
      </c>
      <c r="F98" s="221">
        <f>336*1.3</f>
        <v>436.8</v>
      </c>
      <c r="G98" s="239">
        <v>1</v>
      </c>
      <c r="H98" s="240">
        <f t="shared" ref="H98" si="6">+F98*E98*G98</f>
        <v>1310.4000000000001</v>
      </c>
      <c r="I98" s="180"/>
      <c r="K98" s="21" t="s">
        <v>541</v>
      </c>
      <c r="L98" s="22" t="s">
        <v>557</v>
      </c>
      <c r="M98" s="351"/>
    </row>
    <row r="99" spans="2:13" ht="23.25" customHeight="1" x14ac:dyDescent="0.25">
      <c r="B99" s="253" t="s">
        <v>528</v>
      </c>
      <c r="C99" s="157" t="s">
        <v>558</v>
      </c>
      <c r="D99" s="302" t="s">
        <v>14</v>
      </c>
      <c r="E99" s="28">
        <v>1</v>
      </c>
      <c r="F99" s="221">
        <v>2384.96</v>
      </c>
      <c r="G99" s="239">
        <v>1</v>
      </c>
      <c r="H99" s="240">
        <f t="shared" ref="H99" si="7">+F99*E99*G99</f>
        <v>2384.96</v>
      </c>
      <c r="I99" s="180"/>
      <c r="K99" s="21" t="s">
        <v>347</v>
      </c>
      <c r="L99" s="22" t="s">
        <v>559</v>
      </c>
      <c r="M99" s="356">
        <v>43282</v>
      </c>
    </row>
    <row r="100" spans="2:13" x14ac:dyDescent="0.25">
      <c r="B100" s="253" t="s">
        <v>529</v>
      </c>
      <c r="C100" s="157" t="s">
        <v>560</v>
      </c>
      <c r="D100" s="302" t="s">
        <v>14</v>
      </c>
      <c r="E100" s="28">
        <v>4</v>
      </c>
      <c r="F100" s="221">
        <v>459.89</v>
      </c>
      <c r="G100" s="239">
        <v>1</v>
      </c>
      <c r="H100" s="240">
        <f t="shared" si="5"/>
        <v>1839.56</v>
      </c>
      <c r="I100" s="180"/>
      <c r="K100" s="21" t="s">
        <v>347</v>
      </c>
      <c r="L100" s="22" t="s">
        <v>397</v>
      </c>
      <c r="M100" s="211">
        <v>43282</v>
      </c>
    </row>
    <row r="101" spans="2:13" x14ac:dyDescent="0.25">
      <c r="B101" s="253" t="s">
        <v>530</v>
      </c>
      <c r="C101" s="157" t="s">
        <v>41</v>
      </c>
      <c r="D101" s="302" t="s">
        <v>14</v>
      </c>
      <c r="E101" s="28">
        <v>4</v>
      </c>
      <c r="F101" s="221">
        <v>334.34</v>
      </c>
      <c r="G101" s="239">
        <v>1</v>
      </c>
      <c r="H101" s="240">
        <f t="shared" si="5"/>
        <v>1337.36</v>
      </c>
      <c r="I101" s="180"/>
      <c r="K101" s="21" t="s">
        <v>347</v>
      </c>
      <c r="L101" s="22" t="s">
        <v>412</v>
      </c>
      <c r="M101" s="211">
        <v>43282</v>
      </c>
    </row>
    <row r="102" spans="2:13" x14ac:dyDescent="0.25">
      <c r="B102" s="253" t="s">
        <v>561</v>
      </c>
      <c r="C102" s="157" t="s">
        <v>395</v>
      </c>
      <c r="D102" s="302" t="s">
        <v>14</v>
      </c>
      <c r="E102" s="28">
        <v>1</v>
      </c>
      <c r="F102" s="221">
        <v>365.5</v>
      </c>
      <c r="G102" s="239">
        <v>1</v>
      </c>
      <c r="H102" s="240">
        <f t="shared" si="5"/>
        <v>365.5</v>
      </c>
      <c r="I102" s="180"/>
      <c r="K102" s="21" t="s">
        <v>347</v>
      </c>
      <c r="L102" s="22" t="s">
        <v>396</v>
      </c>
      <c r="M102" s="211">
        <v>43282</v>
      </c>
    </row>
    <row r="103" spans="2:13" ht="42" customHeight="1" x14ac:dyDescent="0.25">
      <c r="B103" s="253" t="s">
        <v>562</v>
      </c>
      <c r="C103" s="159" t="s">
        <v>564</v>
      </c>
      <c r="D103" s="311" t="s">
        <v>14</v>
      </c>
      <c r="E103" s="51">
        <v>1</v>
      </c>
      <c r="F103" s="221">
        <f>(300+250)</f>
        <v>550</v>
      </c>
      <c r="G103" s="239">
        <v>1</v>
      </c>
      <c r="H103" s="240">
        <f t="shared" ref="H103:H106" si="8">+F103*E103*G103</f>
        <v>550</v>
      </c>
      <c r="I103" s="187"/>
      <c r="K103" s="21"/>
      <c r="L103" s="397" t="s">
        <v>565</v>
      </c>
      <c r="M103" s="397"/>
    </row>
    <row r="104" spans="2:13" ht="15" customHeight="1" x14ac:dyDescent="0.25">
      <c r="B104" s="253" t="s">
        <v>563</v>
      </c>
      <c r="C104" s="159" t="s">
        <v>405</v>
      </c>
      <c r="D104" s="311" t="s">
        <v>14</v>
      </c>
      <c r="E104" s="51">
        <v>1</v>
      </c>
      <c r="F104" s="229">
        <v>1578</v>
      </c>
      <c r="G104" s="251">
        <v>1</v>
      </c>
      <c r="H104" s="240">
        <f t="shared" si="8"/>
        <v>1578</v>
      </c>
      <c r="I104" s="187"/>
      <c r="K104" s="21" t="s">
        <v>532</v>
      </c>
      <c r="L104" s="327" t="s">
        <v>533</v>
      </c>
      <c r="M104" s="327"/>
    </row>
    <row r="105" spans="2:13" ht="15" customHeight="1" x14ac:dyDescent="0.25">
      <c r="B105" s="253" t="s">
        <v>566</v>
      </c>
      <c r="C105" s="159" t="s">
        <v>567</v>
      </c>
      <c r="D105" s="311" t="s">
        <v>14</v>
      </c>
      <c r="E105" s="51">
        <v>2</v>
      </c>
      <c r="F105" s="229">
        <v>699</v>
      </c>
      <c r="G105" s="251">
        <v>1</v>
      </c>
      <c r="H105" s="240">
        <f t="shared" si="8"/>
        <v>1398</v>
      </c>
      <c r="I105" s="187"/>
      <c r="K105" s="21" t="s">
        <v>48</v>
      </c>
      <c r="L105" s="327" t="s">
        <v>568</v>
      </c>
      <c r="M105" s="352">
        <v>43282</v>
      </c>
    </row>
    <row r="106" spans="2:13" ht="15" customHeight="1" thickBot="1" x14ac:dyDescent="0.3">
      <c r="B106" s="253" t="s">
        <v>569</v>
      </c>
      <c r="C106" s="242" t="s">
        <v>570</v>
      </c>
      <c r="D106" s="308" t="s">
        <v>14</v>
      </c>
      <c r="E106" s="188">
        <v>2</v>
      </c>
      <c r="F106" s="243">
        <v>5409.95</v>
      </c>
      <c r="G106" s="244">
        <v>1</v>
      </c>
      <c r="H106" s="240">
        <f t="shared" si="8"/>
        <v>10819.9</v>
      </c>
      <c r="I106" s="189"/>
      <c r="K106" s="21" t="s">
        <v>48</v>
      </c>
      <c r="L106" s="22" t="s">
        <v>571</v>
      </c>
      <c r="M106" s="211">
        <v>43282</v>
      </c>
    </row>
    <row r="107" spans="2:13" ht="15.75" thickBot="1" x14ac:dyDescent="0.3">
      <c r="B107" s="54" t="s">
        <v>453</v>
      </c>
      <c r="C107" s="398" t="s">
        <v>548</v>
      </c>
      <c r="D107" s="398"/>
      <c r="E107" s="398"/>
      <c r="F107" s="398"/>
      <c r="G107" s="398"/>
      <c r="H107" s="399"/>
      <c r="I107" s="16">
        <f>SUM(H108:H109)</f>
        <v>107256</v>
      </c>
      <c r="K107" s="258">
        <f>I107/$I$125</f>
        <v>2.7119748505460284E-2</v>
      </c>
      <c r="L107" s="57"/>
      <c r="M107" s="57"/>
    </row>
    <row r="108" spans="2:13" ht="60.75" customHeight="1" x14ac:dyDescent="0.25">
      <c r="B108" s="185" t="s">
        <v>458</v>
      </c>
      <c r="C108" s="55" t="s">
        <v>408</v>
      </c>
      <c r="D108" s="348" t="s">
        <v>14</v>
      </c>
      <c r="E108" s="234">
        <v>2</v>
      </c>
      <c r="F108" s="227">
        <f>30000*1.2</f>
        <v>36000</v>
      </c>
      <c r="G108" s="235">
        <v>1</v>
      </c>
      <c r="H108" s="236">
        <f>+F108*E108*G108</f>
        <v>72000</v>
      </c>
      <c r="I108" s="180"/>
      <c r="K108" s="345" t="s">
        <v>536</v>
      </c>
      <c r="L108" s="397" t="s">
        <v>534</v>
      </c>
      <c r="M108" s="397"/>
    </row>
    <row r="109" spans="2:13" ht="60.75" customHeight="1" thickBot="1" x14ac:dyDescent="0.3">
      <c r="B109" s="185" t="s">
        <v>459</v>
      </c>
      <c r="C109" s="55" t="s">
        <v>409</v>
      </c>
      <c r="D109" s="346" t="s">
        <v>14</v>
      </c>
      <c r="E109" s="347">
        <v>2</v>
      </c>
      <c r="F109" s="344">
        <f>13560*1.3</f>
        <v>17628</v>
      </c>
      <c r="G109" s="53">
        <v>1</v>
      </c>
      <c r="H109" s="20">
        <f>+F109*E109*G109</f>
        <v>35256</v>
      </c>
      <c r="I109" s="181"/>
      <c r="K109" s="56" t="s">
        <v>280</v>
      </c>
      <c r="L109" s="397" t="s">
        <v>535</v>
      </c>
      <c r="M109" s="397"/>
    </row>
    <row r="110" spans="2:13" ht="15.75" thickBot="1" x14ac:dyDescent="0.3">
      <c r="B110" s="54" t="s">
        <v>454</v>
      </c>
      <c r="C110" s="398" t="s">
        <v>42</v>
      </c>
      <c r="D110" s="398"/>
      <c r="E110" s="398"/>
      <c r="F110" s="398"/>
      <c r="G110" s="398"/>
      <c r="H110" s="399"/>
      <c r="I110" s="16">
        <f>SUM(H111:H111)</f>
        <v>9600</v>
      </c>
      <c r="K110" s="258">
        <f>I110/$I$125</f>
        <v>2.4273661674164499E-3</v>
      </c>
      <c r="L110" s="57"/>
      <c r="M110" s="57"/>
    </row>
    <row r="111" spans="2:13" ht="15.75" thickBot="1" x14ac:dyDescent="0.3">
      <c r="B111" s="186" t="s">
        <v>460</v>
      </c>
      <c r="C111" s="158" t="s">
        <v>43</v>
      </c>
      <c r="D111" s="304" t="s">
        <v>14</v>
      </c>
      <c r="E111" s="24">
        <v>6</v>
      </c>
      <c r="F111" s="30">
        <v>1600</v>
      </c>
      <c r="G111" s="32">
        <v>1</v>
      </c>
      <c r="H111" s="20">
        <f>+F111*E111*G111</f>
        <v>9600</v>
      </c>
      <c r="I111" s="181"/>
      <c r="K111" s="56" t="s">
        <v>48</v>
      </c>
      <c r="L111" s="22" t="s">
        <v>411</v>
      </c>
      <c r="M111" s="22"/>
    </row>
    <row r="112" spans="2:13" ht="15.75" thickBot="1" x14ac:dyDescent="0.3">
      <c r="B112" s="54" t="s">
        <v>455</v>
      </c>
      <c r="C112" s="398" t="s">
        <v>277</v>
      </c>
      <c r="D112" s="398"/>
      <c r="E112" s="398"/>
      <c r="F112" s="398"/>
      <c r="G112" s="398"/>
      <c r="H112" s="399"/>
      <c r="I112" s="16">
        <f>SUM(H113:H116)</f>
        <v>142425</v>
      </c>
      <c r="J112" s="169">
        <v>7.0000000000000007E-2</v>
      </c>
      <c r="K112" s="258">
        <f>I112/$I$125</f>
        <v>3.6012252749404984E-2</v>
      </c>
      <c r="L112" s="57"/>
      <c r="M112" s="57"/>
    </row>
    <row r="113" spans="2:13" ht="28.5" customHeight="1" x14ac:dyDescent="0.25">
      <c r="B113" s="179" t="s">
        <v>461</v>
      </c>
      <c r="C113" s="156" t="s">
        <v>410</v>
      </c>
      <c r="D113" s="302" t="s">
        <v>15</v>
      </c>
      <c r="E113" s="28">
        <v>1</v>
      </c>
      <c r="F113" s="30">
        <v>33000</v>
      </c>
      <c r="G113" s="19">
        <v>1</v>
      </c>
      <c r="H113" s="20">
        <f>+F113*E113*G113</f>
        <v>33000</v>
      </c>
      <c r="I113" s="180"/>
      <c r="J113" s="168"/>
      <c r="K113" s="21" t="s">
        <v>413</v>
      </c>
      <c r="L113" s="22"/>
      <c r="M113" s="22"/>
    </row>
    <row r="114" spans="2:13" ht="21" customHeight="1" x14ac:dyDescent="0.25">
      <c r="B114" s="179" t="s">
        <v>462</v>
      </c>
      <c r="C114" s="157" t="s">
        <v>406</v>
      </c>
      <c r="D114" s="302" t="s">
        <v>12</v>
      </c>
      <c r="E114" s="28">
        <v>80</v>
      </c>
      <c r="F114" s="30">
        <v>1285</v>
      </c>
      <c r="G114" s="19">
        <v>1</v>
      </c>
      <c r="H114" s="20">
        <f>+F114*E114*G114</f>
        <v>102800</v>
      </c>
      <c r="I114" s="180"/>
      <c r="J114" s="172"/>
      <c r="K114" s="21" t="s">
        <v>413</v>
      </c>
      <c r="L114" s="22"/>
      <c r="M114" s="22"/>
    </row>
    <row r="115" spans="2:13" ht="37.5" customHeight="1" x14ac:dyDescent="0.25">
      <c r="B115" s="179" t="s">
        <v>539</v>
      </c>
      <c r="C115" s="159" t="s">
        <v>407</v>
      </c>
      <c r="D115" s="311" t="s">
        <v>12</v>
      </c>
      <c r="E115" s="51">
        <v>5</v>
      </c>
      <c r="F115" s="30">
        <v>1285</v>
      </c>
      <c r="G115" s="19">
        <v>1</v>
      </c>
      <c r="H115" s="20">
        <f>+F115*E115*G115</f>
        <v>6425</v>
      </c>
      <c r="I115" s="187"/>
      <c r="J115" s="172"/>
      <c r="K115" s="21" t="s">
        <v>413</v>
      </c>
      <c r="L115" s="22"/>
      <c r="M115" s="22"/>
    </row>
    <row r="116" spans="2:13" ht="15.75" thickBot="1" x14ac:dyDescent="0.3">
      <c r="B116" s="179" t="s">
        <v>540</v>
      </c>
      <c r="C116" s="159" t="s">
        <v>278</v>
      </c>
      <c r="D116" s="311" t="s">
        <v>14</v>
      </c>
      <c r="E116" s="51">
        <v>1</v>
      </c>
      <c r="F116" s="30">
        <v>200</v>
      </c>
      <c r="G116" s="19">
        <v>1</v>
      </c>
      <c r="H116" s="20">
        <f>+F116*E116*G116</f>
        <v>200</v>
      </c>
      <c r="I116" s="187"/>
      <c r="J116" s="172"/>
      <c r="K116" s="21" t="s">
        <v>413</v>
      </c>
      <c r="L116" s="22"/>
      <c r="M116" s="22"/>
    </row>
    <row r="117" spans="2:13" ht="15.75" thickBot="1" x14ac:dyDescent="0.3">
      <c r="B117" s="54" t="s">
        <v>456</v>
      </c>
      <c r="C117" s="398" t="s">
        <v>17</v>
      </c>
      <c r="D117" s="398"/>
      <c r="E117" s="398"/>
      <c r="F117" s="398"/>
      <c r="G117" s="398"/>
      <c r="H117" s="399"/>
      <c r="I117" s="16">
        <f>SUM(H118:H119)</f>
        <v>98821.888000000006</v>
      </c>
      <c r="J117" s="173">
        <v>0.02</v>
      </c>
      <c r="K117" s="258">
        <f>I117/$I$125</f>
        <v>2.4987177867856005E-2</v>
      </c>
      <c r="L117" s="57"/>
      <c r="M117" s="57"/>
    </row>
    <row r="118" spans="2:13" x14ac:dyDescent="0.25">
      <c r="B118" s="179" t="s">
        <v>463</v>
      </c>
      <c r="C118" s="156" t="s">
        <v>18</v>
      </c>
      <c r="D118" s="302" t="s">
        <v>465</v>
      </c>
      <c r="E118" s="28">
        <v>6</v>
      </c>
      <c r="F118" s="30">
        <f>GI!J8*2*2*22</f>
        <v>14303.168</v>
      </c>
      <c r="G118" s="19">
        <v>1</v>
      </c>
      <c r="H118" s="33">
        <f t="shared" ref="H118:H119" si="9">+F118*E118</f>
        <v>85819.008000000002</v>
      </c>
      <c r="I118" s="180"/>
      <c r="J118" s="168"/>
      <c r="K118" s="21" t="s">
        <v>486</v>
      </c>
      <c r="L118" s="22"/>
      <c r="M118" s="22"/>
    </row>
    <row r="119" spans="2:13" ht="15.75" thickBot="1" x14ac:dyDescent="0.3">
      <c r="B119" s="179" t="s">
        <v>531</v>
      </c>
      <c r="C119" s="158" t="s">
        <v>19</v>
      </c>
      <c r="D119" s="304" t="s">
        <v>15</v>
      </c>
      <c r="E119" s="24">
        <v>1</v>
      </c>
      <c r="F119" s="30">
        <f>GI!J8*2*8*5</f>
        <v>13002.880000000001</v>
      </c>
      <c r="G119" s="53">
        <v>1</v>
      </c>
      <c r="H119" s="33">
        <f t="shared" si="9"/>
        <v>13002.880000000001</v>
      </c>
      <c r="I119" s="181"/>
      <c r="J119" s="172"/>
      <c r="K119" s="21" t="s">
        <v>486</v>
      </c>
      <c r="L119" s="22"/>
      <c r="M119" s="22"/>
    </row>
    <row r="120" spans="2:13" ht="15.75" thickBot="1" x14ac:dyDescent="0.3">
      <c r="B120" s="54" t="s">
        <v>457</v>
      </c>
      <c r="C120" s="398" t="s">
        <v>44</v>
      </c>
      <c r="D120" s="398"/>
      <c r="E120" s="398"/>
      <c r="F120" s="398"/>
      <c r="G120" s="398"/>
      <c r="H120" s="399"/>
      <c r="I120" s="16">
        <f>SUM(H121:H121)</f>
        <v>171635.5</v>
      </c>
      <c r="J120" s="173"/>
      <c r="K120" s="258">
        <f>I120/$I$125</f>
        <v>4.339814644037563E-2</v>
      </c>
      <c r="L120" s="57"/>
      <c r="M120" s="57"/>
    </row>
    <row r="121" spans="2:13" ht="15.75" thickBot="1" x14ac:dyDescent="0.3">
      <c r="B121" s="336" t="s">
        <v>464</v>
      </c>
      <c r="C121" s="337" t="s">
        <v>421</v>
      </c>
      <c r="D121" s="338" t="s">
        <v>14</v>
      </c>
      <c r="E121" s="339">
        <v>3</v>
      </c>
      <c r="F121" s="340">
        <f>41445*1.3</f>
        <v>53878.5</v>
      </c>
      <c r="G121" s="341">
        <v>1</v>
      </c>
      <c r="H121" s="342">
        <f>E121*F121+10000</f>
        <v>171635.5</v>
      </c>
      <c r="I121" s="343"/>
      <c r="J121" s="168"/>
      <c r="K121" s="21" t="s">
        <v>423</v>
      </c>
      <c r="L121" s="22"/>
      <c r="M121" s="22"/>
    </row>
    <row r="122" spans="2:13" ht="15.75" thickBot="1" x14ac:dyDescent="0.3"/>
    <row r="123" spans="2:13" ht="26.25" customHeight="1" thickBot="1" x14ac:dyDescent="0.3">
      <c r="B123" s="409" t="s">
        <v>294</v>
      </c>
      <c r="C123" s="410"/>
      <c r="D123" s="410"/>
      <c r="E123" s="410"/>
      <c r="F123" s="410"/>
      <c r="G123" s="410"/>
      <c r="H123" s="410"/>
      <c r="I123" s="411"/>
      <c r="K123" s="319">
        <f>SUM(K2:K122)</f>
        <v>1</v>
      </c>
    </row>
    <row r="124" spans="2:13" ht="15.75" thickBot="1" x14ac:dyDescent="0.3"/>
    <row r="125" spans="2:13" ht="18.75" thickBot="1" x14ac:dyDescent="0.3">
      <c r="B125" s="41" t="s">
        <v>20</v>
      </c>
      <c r="C125" s="260" t="s">
        <v>21</v>
      </c>
      <c r="D125" s="312"/>
      <c r="E125" s="260"/>
      <c r="F125" s="42"/>
      <c r="G125" s="43"/>
      <c r="H125" s="315"/>
      <c r="I125" s="191">
        <f>SUM(I7:I121)</f>
        <v>3954903.9320333335</v>
      </c>
    </row>
    <row r="126" spans="2:13" ht="15.75" thickBot="1" x14ac:dyDescent="0.3">
      <c r="B126"/>
      <c r="F126" s="44"/>
      <c r="G126" s="45"/>
      <c r="H126" s="44"/>
      <c r="I126" s="46"/>
    </row>
    <row r="127" spans="2:13" ht="18.75" thickBot="1" x14ac:dyDescent="0.3">
      <c r="B127" s="41" t="s">
        <v>22</v>
      </c>
      <c r="C127" s="260" t="s">
        <v>23</v>
      </c>
      <c r="D127" s="312"/>
      <c r="E127" s="260"/>
      <c r="F127" s="190" t="s">
        <v>290</v>
      </c>
      <c r="G127" s="316"/>
      <c r="H127" s="313">
        <f>I127/I125</f>
        <v>0.28429692449999144</v>
      </c>
      <c r="I127" s="278">
        <f>GI!J131</f>
        <v>1124367.0245699999</v>
      </c>
      <c r="L127" s="163"/>
    </row>
    <row r="128" spans="2:13" ht="15.75" thickBot="1" x14ac:dyDescent="0.3">
      <c r="B128"/>
      <c r="F128" s="44"/>
      <c r="G128" s="45"/>
      <c r="H128" s="44"/>
      <c r="I128" s="46"/>
    </row>
    <row r="129" spans="2:13" ht="18.75" thickBot="1" x14ac:dyDescent="0.3">
      <c r="B129" s="41" t="s">
        <v>24</v>
      </c>
      <c r="C129" s="260" t="s">
        <v>25</v>
      </c>
      <c r="D129" s="312"/>
      <c r="E129" s="260"/>
      <c r="F129" s="42"/>
      <c r="G129" s="43"/>
      <c r="H129" s="317"/>
      <c r="I129" s="278">
        <f>+I125+I127</f>
        <v>5079270.9566033334</v>
      </c>
    </row>
    <row r="130" spans="2:13" ht="15.75" thickBot="1" x14ac:dyDescent="0.3">
      <c r="B130"/>
      <c r="F130" s="44"/>
      <c r="G130" s="45"/>
      <c r="H130" s="44"/>
      <c r="I130" s="46"/>
    </row>
    <row r="131" spans="2:13" ht="18.75" thickBot="1" x14ac:dyDescent="0.3">
      <c r="B131" s="41" t="s">
        <v>26</v>
      </c>
      <c r="C131" s="260" t="s">
        <v>27</v>
      </c>
      <c r="D131" s="312"/>
      <c r="E131" s="260"/>
      <c r="F131" s="190" t="s">
        <v>291</v>
      </c>
      <c r="G131" s="316"/>
      <c r="H131" s="313">
        <v>0.2</v>
      </c>
      <c r="I131" s="278">
        <f>+H131*I129</f>
        <v>1015854.1913206667</v>
      </c>
      <c r="K131" s="36"/>
    </row>
    <row r="132" spans="2:13" ht="15.75" thickBot="1" x14ac:dyDescent="0.3">
      <c r="B132"/>
      <c r="F132" s="44"/>
      <c r="G132" s="45"/>
      <c r="H132" s="44"/>
      <c r="I132" s="46"/>
    </row>
    <row r="133" spans="2:13" ht="18.75" thickBot="1" x14ac:dyDescent="0.3">
      <c r="B133" s="41" t="s">
        <v>28</v>
      </c>
      <c r="C133" s="260" t="s">
        <v>29</v>
      </c>
      <c r="D133" s="312"/>
      <c r="E133" s="260"/>
      <c r="F133" s="42"/>
      <c r="G133" s="43"/>
      <c r="H133" s="317"/>
      <c r="I133" s="278">
        <f>I131+I129</f>
        <v>6095125.1479240004</v>
      </c>
    </row>
    <row r="134" spans="2:13" ht="15.75" thickBot="1" x14ac:dyDescent="0.3">
      <c r="B134"/>
      <c r="F134" s="44"/>
      <c r="G134" s="45"/>
      <c r="H134" s="44"/>
      <c r="I134" s="46"/>
    </row>
    <row r="135" spans="2:13" ht="18.75" thickBot="1" x14ac:dyDescent="0.3">
      <c r="B135" s="41" t="s">
        <v>30</v>
      </c>
      <c r="C135" s="47" t="s">
        <v>31</v>
      </c>
      <c r="D135" s="48"/>
      <c r="E135" s="260"/>
      <c r="F135" s="318">
        <v>6.6000000000000003E-2</v>
      </c>
      <c r="G135" s="43"/>
      <c r="H135" s="315"/>
      <c r="I135" s="278">
        <f>I133*F135</f>
        <v>402278.25976298406</v>
      </c>
    </row>
    <row r="136" spans="2:13" ht="15.75" thickBot="1" x14ac:dyDescent="0.3">
      <c r="B136"/>
      <c r="F136" s="40"/>
      <c r="H136"/>
      <c r="I136" s="46"/>
    </row>
    <row r="137" spans="2:13" ht="21.75" customHeight="1" thickBot="1" x14ac:dyDescent="0.3">
      <c r="B137" s="400" t="s">
        <v>285</v>
      </c>
      <c r="C137" s="401"/>
      <c r="D137" s="401"/>
      <c r="E137" s="401"/>
      <c r="F137" s="401"/>
      <c r="G137" s="401"/>
      <c r="H137" s="402"/>
      <c r="I137" s="277">
        <f>+I133+I135</f>
        <v>6497403.4076869842</v>
      </c>
      <c r="K137" s="320">
        <f>I137/192</f>
        <v>33840.642748369712</v>
      </c>
      <c r="L137" s="320">
        <v>22244</v>
      </c>
      <c r="M137" s="321">
        <f>K137/L137</f>
        <v>1.5213380124244611</v>
      </c>
    </row>
    <row r="138" spans="2:13" ht="15.75" thickBot="1" x14ac:dyDescent="0.3">
      <c r="B138" s="154"/>
      <c r="C138" s="47"/>
      <c r="D138" s="48"/>
      <c r="F138" s="42"/>
      <c r="G138" s="43"/>
      <c r="H138" s="49"/>
      <c r="I138" s="50"/>
    </row>
    <row r="139" spans="2:13" ht="23.25" customHeight="1" thickBot="1" x14ac:dyDescent="0.3">
      <c r="B139" s="407" t="s">
        <v>292</v>
      </c>
      <c r="C139" s="408"/>
      <c r="D139" s="48"/>
      <c r="E139" s="260"/>
      <c r="F139" s="190" t="s">
        <v>293</v>
      </c>
      <c r="G139" s="43"/>
      <c r="H139" s="206"/>
      <c r="I139" s="279">
        <f>+I137/I125</f>
        <v>1.6428726258203892</v>
      </c>
      <c r="K139" s="323">
        <f>I137/192/28</f>
        <v>1208.5943838703467</v>
      </c>
      <c r="L139" s="320">
        <f>L137/28</f>
        <v>794.42857142857144</v>
      </c>
      <c r="M139" s="321">
        <f>K139/L139</f>
        <v>1.5213380124244609</v>
      </c>
    </row>
    <row r="143" spans="2:13" ht="15.75" x14ac:dyDescent="0.25">
      <c r="G143" s="394"/>
      <c r="H143" s="395"/>
      <c r="I143" s="360"/>
    </row>
    <row r="144" spans="2:13" ht="15.75" x14ac:dyDescent="0.25">
      <c r="G144" s="394"/>
      <c r="I144" s="360"/>
    </row>
    <row r="145" spans="7:9" ht="15.75" x14ac:dyDescent="0.25">
      <c r="G145" s="394"/>
      <c r="I145" s="395"/>
    </row>
    <row r="146" spans="7:9" ht="15.75" x14ac:dyDescent="0.25">
      <c r="G146" s="394"/>
      <c r="H146" s="395"/>
      <c r="I146" s="395"/>
    </row>
  </sheetData>
  <mergeCells count="43">
    <mergeCell ref="L92:M92"/>
    <mergeCell ref="B139:C139"/>
    <mergeCell ref="B123:I123"/>
    <mergeCell ref="H5:H6"/>
    <mergeCell ref="I5:I6"/>
    <mergeCell ref="K5:M5"/>
    <mergeCell ref="C5:C6"/>
    <mergeCell ref="D5:D6"/>
    <mergeCell ref="E5:E6"/>
    <mergeCell ref="F5:F6"/>
    <mergeCell ref="G5:G6"/>
    <mergeCell ref="L108:M108"/>
    <mergeCell ref="B5:B6"/>
    <mergeCell ref="L65:M65"/>
    <mergeCell ref="L109:M109"/>
    <mergeCell ref="C75:H75"/>
    <mergeCell ref="C44:H44"/>
    <mergeCell ref="C7:H7"/>
    <mergeCell ref="C11:H11"/>
    <mergeCell ref="C13:H13"/>
    <mergeCell ref="C23:H23"/>
    <mergeCell ref="C27:H27"/>
    <mergeCell ref="B137:H137"/>
    <mergeCell ref="C1:E1"/>
    <mergeCell ref="C2:E2"/>
    <mergeCell ref="C3:E3"/>
    <mergeCell ref="C80:H80"/>
    <mergeCell ref="C89:H89"/>
    <mergeCell ref="C107:H107"/>
    <mergeCell ref="C110:H110"/>
    <mergeCell ref="C47:H47"/>
    <mergeCell ref="C50:H50"/>
    <mergeCell ref="C52:H52"/>
    <mergeCell ref="C64:H64"/>
    <mergeCell ref="C30:H30"/>
    <mergeCell ref="C33:H33"/>
    <mergeCell ref="C35:H35"/>
    <mergeCell ref="C39:H39"/>
    <mergeCell ref="L97:M97"/>
    <mergeCell ref="L103:M103"/>
    <mergeCell ref="C112:H112"/>
    <mergeCell ref="C117:H117"/>
    <mergeCell ref="C120:H120"/>
  </mergeCells>
  <hyperlinks>
    <hyperlink ref="L97" r:id="rId1" display="https://articulo.mercadolibre.com.ar/MLA-649596784-ferrum-mingitorio-mural-antivandalico-corto-mmdj-_JM ;https://articulo.mercadolibre.com.ar/MLA-634217945-valvula-de-descarga-fv-36801-tecla-antivandalica-fv-349-_JM"/>
    <hyperlink ref="L92" r:id="rId2"/>
  </hyperlinks>
  <pageMargins left="0.23622047244094491" right="0.23622047244094491" top="0.35433070866141736" bottom="0.15748031496062992" header="0.31496062992125984" footer="0.31496062992125984"/>
  <pageSetup paperSize="8" scale="62" fitToHeight="0" orientation="landscape" r:id="rId3"/>
  <drawing r:id="rId4"/>
  <legacyDrawing r:id="rId5"/>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M53"/>
  <sheetViews>
    <sheetView topLeftCell="B31" workbookViewId="0">
      <selection activeCell="C50" sqref="C50"/>
    </sheetView>
  </sheetViews>
  <sheetFormatPr baseColWidth="10" defaultRowHeight="15" x14ac:dyDescent="0.25"/>
  <cols>
    <col min="2" max="2" width="72.42578125" customWidth="1"/>
    <col min="3" max="3" width="15.5703125" style="161" customWidth="1"/>
    <col min="4" max="7" width="13.140625" bestFit="1" customWidth="1"/>
  </cols>
  <sheetData>
    <row r="1" spans="1:13" ht="15.75" thickBot="1" x14ac:dyDescent="0.3"/>
    <row r="2" spans="1:13" ht="21.75" thickBot="1" x14ac:dyDescent="0.4">
      <c r="A2" s="431" t="s">
        <v>487</v>
      </c>
      <c r="B2" s="432"/>
      <c r="C2" s="432"/>
      <c r="D2" s="432"/>
      <c r="E2" s="432"/>
      <c r="F2" s="432"/>
      <c r="G2" s="432"/>
      <c r="H2" s="432"/>
      <c r="I2" s="432"/>
      <c r="J2" s="432"/>
      <c r="K2" s="432"/>
      <c r="L2" s="432"/>
      <c r="M2" s="433"/>
    </row>
    <row r="3" spans="1:13" ht="15.75" thickBot="1" x14ac:dyDescent="0.3"/>
    <row r="4" spans="1:13" x14ac:dyDescent="0.25">
      <c r="A4" s="427" t="s">
        <v>3</v>
      </c>
      <c r="B4" s="429" t="s">
        <v>47</v>
      </c>
    </row>
    <row r="5" spans="1:13" ht="4.5" customHeight="1" thickBot="1" x14ac:dyDescent="0.3">
      <c r="A5" s="428"/>
      <c r="B5" s="430"/>
    </row>
    <row r="6" spans="1:13" ht="15.75" thickBot="1" x14ac:dyDescent="0.3">
      <c r="A6" s="5"/>
      <c r="B6" s="6"/>
    </row>
    <row r="7" spans="1:13" ht="15.75" thickBot="1" x14ac:dyDescent="0.3">
      <c r="A7" s="54">
        <v>1</v>
      </c>
      <c r="B7" s="153" t="s">
        <v>537</v>
      </c>
      <c r="C7" s="322">
        <f>+PLACOT_VI!K7</f>
        <v>3.8881525984612454E-2</v>
      </c>
    </row>
    <row r="8" spans="1:13" ht="15.75" thickBot="1" x14ac:dyDescent="0.3">
      <c r="A8" s="5"/>
      <c r="B8" s="6"/>
    </row>
    <row r="9" spans="1:13" ht="15.75" thickBot="1" x14ac:dyDescent="0.3">
      <c r="A9" s="54">
        <v>2</v>
      </c>
      <c r="B9" s="153" t="s">
        <v>296</v>
      </c>
      <c r="C9" s="322">
        <f>+PLACOT_VI!K11</f>
        <v>3.1298611073053168E-3</v>
      </c>
    </row>
    <row r="10" spans="1:13" ht="15.75" thickBot="1" x14ac:dyDescent="0.3">
      <c r="A10" s="5"/>
      <c r="B10" s="6"/>
    </row>
    <row r="11" spans="1:13" ht="15.75" thickBot="1" x14ac:dyDescent="0.3">
      <c r="A11" s="54">
        <v>3</v>
      </c>
      <c r="B11" s="153" t="s">
        <v>538</v>
      </c>
      <c r="C11" s="322">
        <f>+PLACOT_VI!K13</f>
        <v>0.16890535079484453</v>
      </c>
    </row>
    <row r="12" spans="1:13" ht="15.75" thickBot="1" x14ac:dyDescent="0.3">
      <c r="A12" s="5"/>
      <c r="B12" s="6"/>
    </row>
    <row r="13" spans="1:13" ht="15.75" thickBot="1" x14ac:dyDescent="0.3">
      <c r="A13" s="54">
        <v>4</v>
      </c>
      <c r="B13" s="349" t="s">
        <v>303</v>
      </c>
      <c r="C13" s="322">
        <f>+PLACOT_VI!K23</f>
        <v>8.5379570731164353E-2</v>
      </c>
      <c r="D13" s="350">
        <v>8.3603212000177798E-2</v>
      </c>
      <c r="E13" s="350">
        <v>8.3603212000177798E-2</v>
      </c>
      <c r="F13" s="350">
        <v>8.3603212000177798E-2</v>
      </c>
      <c r="G13" s="350">
        <v>8.3603212000177798E-2</v>
      </c>
    </row>
    <row r="14" spans="1:13" ht="15.75" thickBot="1" x14ac:dyDescent="0.3">
      <c r="A14" s="5"/>
      <c r="B14" s="6"/>
    </row>
    <row r="15" spans="1:13" ht="15.75" thickBot="1" x14ac:dyDescent="0.3">
      <c r="A15" s="54">
        <v>5</v>
      </c>
      <c r="B15" s="153" t="s">
        <v>362</v>
      </c>
      <c r="C15" s="322">
        <f>+PLACOT_VI!K27</f>
        <v>2.7707373398489017E-3</v>
      </c>
    </row>
    <row r="16" spans="1:13" ht="15.75" thickBot="1" x14ac:dyDescent="0.3">
      <c r="A16" s="36"/>
      <c r="B16" s="6"/>
    </row>
    <row r="17" spans="1:3" ht="15.75" thickBot="1" x14ac:dyDescent="0.3">
      <c r="A17" s="54">
        <v>6</v>
      </c>
      <c r="B17" s="153" t="s">
        <v>35</v>
      </c>
      <c r="C17" s="322">
        <f>+PLACOT_VI!K30</f>
        <v>5.6107625700509617E-2</v>
      </c>
    </row>
    <row r="18" spans="1:3" ht="15.75" thickBot="1" x14ac:dyDescent="0.3">
      <c r="A18" s="36"/>
      <c r="B18" s="37"/>
    </row>
    <row r="19" spans="1:3" ht="15.75" thickBot="1" x14ac:dyDescent="0.3">
      <c r="A19" s="54">
        <v>7</v>
      </c>
      <c r="B19" s="153" t="s">
        <v>324</v>
      </c>
      <c r="C19" s="322">
        <f>+PLACOT_VI!K33</f>
        <v>3.6729539451876543E-4</v>
      </c>
    </row>
    <row r="20" spans="1:3" ht="15.75" thickBot="1" x14ac:dyDescent="0.3">
      <c r="A20" s="36"/>
      <c r="B20" s="6"/>
    </row>
    <row r="21" spans="1:3" ht="15.75" thickBot="1" x14ac:dyDescent="0.3">
      <c r="A21" s="54">
        <v>8</v>
      </c>
      <c r="B21" s="153" t="s">
        <v>321</v>
      </c>
      <c r="C21" s="322">
        <f>+PLACOT_VI!K35</f>
        <v>6.5948843380856534E-2</v>
      </c>
    </row>
    <row r="22" spans="1:3" ht="15.75" thickBot="1" x14ac:dyDescent="0.3">
      <c r="A22" s="36"/>
      <c r="B22" s="6"/>
    </row>
    <row r="23" spans="1:3" ht="15.75" thickBot="1" x14ac:dyDescent="0.3">
      <c r="A23" s="54">
        <v>9</v>
      </c>
      <c r="B23" s="153" t="s">
        <v>470</v>
      </c>
      <c r="C23" s="322">
        <f>+PLACOT_VI!K39</f>
        <v>3.0587165220421948E-2</v>
      </c>
    </row>
    <row r="24" spans="1:3" ht="15.75" thickBot="1" x14ac:dyDescent="0.3">
      <c r="A24" s="36"/>
      <c r="B24" s="37"/>
    </row>
    <row r="25" spans="1:3" ht="15.75" thickBot="1" x14ac:dyDescent="0.3">
      <c r="A25" s="54">
        <v>10</v>
      </c>
      <c r="B25" s="153" t="s">
        <v>366</v>
      </c>
      <c r="C25" s="322">
        <f>+PLACOT_VI!K44</f>
        <v>6.6134729059152148E-3</v>
      </c>
    </row>
    <row r="26" spans="1:3" ht="15.75" thickBot="1" x14ac:dyDescent="0.3">
      <c r="A26" s="36"/>
      <c r="B26" s="6"/>
    </row>
    <row r="27" spans="1:3" ht="15.75" thickBot="1" x14ac:dyDescent="0.3">
      <c r="A27" s="54">
        <v>11</v>
      </c>
      <c r="B27" s="153" t="s">
        <v>332</v>
      </c>
      <c r="C27" s="322">
        <f>+PLACOT_VI!K47</f>
        <v>2.054035278632789E-2</v>
      </c>
    </row>
    <row r="28" spans="1:3" ht="15.75" thickBot="1" x14ac:dyDescent="0.3">
      <c r="A28" s="36"/>
      <c r="B28" s="6"/>
    </row>
    <row r="29" spans="1:3" ht="15.75" thickBot="1" x14ac:dyDescent="0.3">
      <c r="A29" s="54">
        <v>12</v>
      </c>
      <c r="B29" s="153" t="s">
        <v>333</v>
      </c>
      <c r="C29" s="322">
        <f>+PLACOT_VI!K50</f>
        <v>1.9468766200956365E-3</v>
      </c>
    </row>
    <row r="30" spans="1:3" ht="15.75" thickBot="1" x14ac:dyDescent="0.3">
      <c r="A30" s="36"/>
      <c r="B30" s="37"/>
    </row>
    <row r="31" spans="1:3" ht="15.75" thickBot="1" x14ac:dyDescent="0.3">
      <c r="A31" s="54">
        <v>13</v>
      </c>
      <c r="B31" s="153" t="s">
        <v>13</v>
      </c>
      <c r="C31" s="322">
        <f>+PLACOT_VI!K52</f>
        <v>7.6401999574736215E-2</v>
      </c>
    </row>
    <row r="32" spans="1:3" ht="15.75" thickBot="1" x14ac:dyDescent="0.3">
      <c r="A32" s="52"/>
      <c r="B32" s="6"/>
    </row>
    <row r="33" spans="1:3" ht="15.75" thickBot="1" x14ac:dyDescent="0.3">
      <c r="A33" s="54">
        <v>14</v>
      </c>
      <c r="B33" s="153" t="s">
        <v>16</v>
      </c>
      <c r="C33" s="322">
        <f>+PLACOT_VI!K64</f>
        <v>0.12599418912909266</v>
      </c>
    </row>
    <row r="34" spans="1:3" ht="15.75" thickBot="1" x14ac:dyDescent="0.3">
      <c r="A34" s="36"/>
      <c r="B34" s="6"/>
    </row>
    <row r="35" spans="1:3" ht="15.75" thickBot="1" x14ac:dyDescent="0.3">
      <c r="A35" s="54">
        <v>15</v>
      </c>
      <c r="B35" s="153" t="s">
        <v>33</v>
      </c>
      <c r="C35" s="322">
        <f>+PLACOT_VI!K75</f>
        <v>7.5829943066610075E-2</v>
      </c>
    </row>
    <row r="36" spans="1:3" ht="15.75" thickBot="1" x14ac:dyDescent="0.3">
      <c r="A36" s="36"/>
      <c r="B36" s="37"/>
    </row>
    <row r="37" spans="1:3" ht="15.75" thickBot="1" x14ac:dyDescent="0.3">
      <c r="A37" s="54">
        <v>16</v>
      </c>
      <c r="B37" s="153" t="s">
        <v>55</v>
      </c>
      <c r="C37" s="322">
        <f>+PLACOT_VI!K80</f>
        <v>2.3495877421281643E-2</v>
      </c>
    </row>
    <row r="38" spans="1:3" ht="15.75" thickBot="1" x14ac:dyDescent="0.3">
      <c r="A38" s="36"/>
      <c r="B38" s="6"/>
    </row>
    <row r="39" spans="1:3" ht="15.75" thickBot="1" x14ac:dyDescent="0.3">
      <c r="A39" s="54">
        <v>17</v>
      </c>
      <c r="B39" s="153" t="s">
        <v>37</v>
      </c>
      <c r="C39" s="322">
        <f>+PLACOT_VI!K89</f>
        <v>8.3154621111344917E-2</v>
      </c>
    </row>
    <row r="40" spans="1:3" ht="15.75" thickBot="1" x14ac:dyDescent="0.3">
      <c r="A40" s="259"/>
      <c r="B40" s="6"/>
    </row>
    <row r="41" spans="1:3" ht="15.75" thickBot="1" x14ac:dyDescent="0.3">
      <c r="A41" s="54">
        <v>18</v>
      </c>
      <c r="B41" s="153" t="s">
        <v>422</v>
      </c>
      <c r="C41" s="322">
        <f>+PLACOT_VI!K107</f>
        <v>2.7119748505460284E-2</v>
      </c>
    </row>
    <row r="42" spans="1:3" ht="12" customHeight="1" thickBot="1" x14ac:dyDescent="0.3">
      <c r="A42" s="36"/>
      <c r="B42" s="37"/>
    </row>
    <row r="43" spans="1:3" ht="15.75" thickBot="1" x14ac:dyDescent="0.3">
      <c r="A43" s="54">
        <v>19</v>
      </c>
      <c r="B43" s="153" t="s">
        <v>42</v>
      </c>
      <c r="C43" s="322">
        <f>+PLACOT_VI!K110</f>
        <v>2.4273661674164499E-3</v>
      </c>
    </row>
    <row r="44" spans="1:3" ht="12" customHeight="1" thickBot="1" x14ac:dyDescent="0.3">
      <c r="A44" s="36"/>
      <c r="B44" s="6"/>
    </row>
    <row r="45" spans="1:3" ht="15.75" thickBot="1" x14ac:dyDescent="0.3">
      <c r="A45" s="54">
        <v>20</v>
      </c>
      <c r="B45" s="153" t="s">
        <v>277</v>
      </c>
      <c r="C45" s="322">
        <f>+PLACOT_VI!K112</f>
        <v>3.6012252749404984E-2</v>
      </c>
    </row>
    <row r="46" spans="1:3" ht="12" customHeight="1" thickBot="1" x14ac:dyDescent="0.3">
      <c r="A46" s="259"/>
      <c r="B46" s="6"/>
    </row>
    <row r="47" spans="1:3" ht="18.75" customHeight="1" thickBot="1" x14ac:dyDescent="0.3">
      <c r="A47" s="54">
        <v>21</v>
      </c>
      <c r="B47" s="153" t="s">
        <v>17</v>
      </c>
      <c r="C47" s="322">
        <f>+PLACOT_VI!K117</f>
        <v>2.4987177867856005E-2</v>
      </c>
    </row>
    <row r="48" spans="1:3" ht="12" customHeight="1" thickBot="1" x14ac:dyDescent="0.3">
      <c r="A48" s="36"/>
      <c r="B48" s="37"/>
    </row>
    <row r="49" spans="1:3" ht="18.75" customHeight="1" thickBot="1" x14ac:dyDescent="0.3">
      <c r="A49" s="54">
        <v>22</v>
      </c>
      <c r="B49" s="153" t="s">
        <v>44</v>
      </c>
      <c r="C49" s="322">
        <f>+PLACOT_VI!K120</f>
        <v>4.339814644037563E-2</v>
      </c>
    </row>
    <row r="50" spans="1:3" ht="12" customHeight="1" thickBot="1" x14ac:dyDescent="0.3">
      <c r="A50" s="36"/>
      <c r="B50" s="37"/>
    </row>
    <row r="51" spans="1:3" ht="15.75" thickBot="1" x14ac:dyDescent="0.3">
      <c r="A51" s="41"/>
      <c r="B51" s="49" t="s">
        <v>32</v>
      </c>
      <c r="C51" s="275">
        <f>SUM(C7:C50)</f>
        <v>1</v>
      </c>
    </row>
    <row r="53" spans="1:3" x14ac:dyDescent="0.25">
      <c r="C53" s="164"/>
    </row>
  </sheetData>
  <sortState ref="C44:E57">
    <sortCondition ref="C43"/>
  </sortState>
  <mergeCells count="3">
    <mergeCell ref="A4:A5"/>
    <mergeCell ref="B4:B5"/>
    <mergeCell ref="A2:M2"/>
  </mergeCells>
  <pageMargins left="0.7" right="0.7" top="0.75" bottom="0.75" header="0.3" footer="0.3"/>
  <pageSetup paperSize="8" scale="87"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131"/>
  <sheetViews>
    <sheetView topLeftCell="A79" workbookViewId="0">
      <selection activeCell="H98" sqref="H98"/>
    </sheetView>
  </sheetViews>
  <sheetFormatPr baseColWidth="10" defaultRowHeight="15" x14ac:dyDescent="0.25"/>
  <cols>
    <col min="1" max="1" width="8.85546875" customWidth="1"/>
    <col min="2" max="2" width="14" style="59" customWidth="1"/>
    <col min="3" max="3" width="2.42578125" customWidth="1"/>
    <col min="5" max="5" width="38.28515625" customWidth="1"/>
    <col min="6" max="6" width="10.140625" customWidth="1"/>
    <col min="7" max="7" width="15.5703125" style="59" customWidth="1"/>
    <col min="10" max="10" width="16.85546875" style="38" customWidth="1"/>
    <col min="11" max="11" width="12.42578125" customWidth="1"/>
    <col min="12" max="12" width="13" bestFit="1" customWidth="1"/>
  </cols>
  <sheetData>
    <row r="1" spans="1:10" ht="18.75" customHeight="1" x14ac:dyDescent="0.3">
      <c r="D1" s="60"/>
      <c r="E1" s="404" t="s">
        <v>481</v>
      </c>
      <c r="F1" s="404"/>
      <c r="G1" s="404"/>
      <c r="H1" s="61"/>
      <c r="I1" s="61"/>
      <c r="J1" s="62"/>
    </row>
    <row r="2" spans="1:10" ht="18.75" x14ac:dyDescent="0.3">
      <c r="D2" s="63"/>
      <c r="E2" s="404" t="s">
        <v>482</v>
      </c>
      <c r="F2" s="404"/>
      <c r="G2" s="404"/>
      <c r="H2" s="4"/>
      <c r="I2" s="4"/>
      <c r="J2" s="65"/>
    </row>
    <row r="3" spans="1:10" ht="18.75" customHeight="1" x14ac:dyDescent="0.3">
      <c r="D3" s="63"/>
      <c r="E3" s="404" t="s">
        <v>485</v>
      </c>
      <c r="F3" s="404"/>
      <c r="G3" s="404"/>
      <c r="H3" s="4"/>
      <c r="I3" s="4"/>
      <c r="J3" s="65"/>
    </row>
    <row r="4" spans="1:10" ht="15.75" thickBot="1" x14ac:dyDescent="0.3">
      <c r="D4" s="66"/>
      <c r="E4" s="67"/>
      <c r="F4" s="67"/>
      <c r="G4" s="68"/>
      <c r="H4" s="67"/>
      <c r="I4" s="67"/>
      <c r="J4" s="69"/>
    </row>
    <row r="5" spans="1:10" ht="15.75" thickBot="1" x14ac:dyDescent="0.3">
      <c r="D5" s="70"/>
      <c r="E5" s="71" t="s">
        <v>57</v>
      </c>
      <c r="F5" s="72"/>
      <c r="G5" s="73" t="s">
        <v>58</v>
      </c>
      <c r="H5" s="72" t="s">
        <v>59</v>
      </c>
      <c r="I5" s="72"/>
      <c r="J5" s="74" t="s">
        <v>60</v>
      </c>
    </row>
    <row r="6" spans="1:10" x14ac:dyDescent="0.25">
      <c r="D6" s="75">
        <v>1</v>
      </c>
      <c r="E6" s="76" t="s">
        <v>61</v>
      </c>
      <c r="F6" s="77"/>
      <c r="G6" s="78">
        <v>102.43</v>
      </c>
      <c r="H6" s="79">
        <v>2.2000000000000002</v>
      </c>
      <c r="I6" s="80"/>
      <c r="J6" s="81">
        <f>G6*H6</f>
        <v>225.34600000000003</v>
      </c>
    </row>
    <row r="7" spans="1:10" x14ac:dyDescent="0.25">
      <c r="D7" s="82">
        <v>2</v>
      </c>
      <c r="E7" s="83" t="s">
        <v>62</v>
      </c>
      <c r="F7" s="84"/>
      <c r="G7" s="85">
        <v>80.47</v>
      </c>
      <c r="H7" s="86">
        <v>2.2000000000000002</v>
      </c>
      <c r="I7" s="87"/>
      <c r="J7" s="88">
        <f>G7*H7</f>
        <v>177.03400000000002</v>
      </c>
    </row>
    <row r="8" spans="1:10" ht="15.75" thickBot="1" x14ac:dyDescent="0.3">
      <c r="D8" s="89">
        <v>3</v>
      </c>
      <c r="E8" s="90" t="s">
        <v>63</v>
      </c>
      <c r="F8" s="91"/>
      <c r="G8" s="92">
        <v>73.88</v>
      </c>
      <c r="H8" s="93">
        <v>2.2000000000000002</v>
      </c>
      <c r="I8" s="94"/>
      <c r="J8" s="95">
        <f>G8*H8</f>
        <v>162.536</v>
      </c>
    </row>
    <row r="9" spans="1:10" ht="15.75" thickBot="1" x14ac:dyDescent="0.3">
      <c r="D9" s="63"/>
      <c r="E9" s="4"/>
      <c r="F9" s="4"/>
      <c r="G9" s="64"/>
      <c r="H9" s="4"/>
      <c r="I9" s="4"/>
      <c r="J9" s="65"/>
    </row>
    <row r="10" spans="1:10" ht="26.25" thickBot="1" x14ac:dyDescent="0.3">
      <c r="B10" s="96">
        <f>SUM(B12:B131)</f>
        <v>1124367.0245699999</v>
      </c>
      <c r="D10" s="192" t="s">
        <v>8</v>
      </c>
      <c r="E10" s="193" t="s">
        <v>64</v>
      </c>
      <c r="F10" s="193" t="s">
        <v>289</v>
      </c>
      <c r="G10" s="193" t="s">
        <v>65</v>
      </c>
      <c r="H10" s="193" t="s">
        <v>288</v>
      </c>
      <c r="I10" s="193" t="s">
        <v>66</v>
      </c>
      <c r="J10" s="194" t="s">
        <v>67</v>
      </c>
    </row>
    <row r="11" spans="1:10" ht="15.75" thickBot="1" x14ac:dyDescent="0.3">
      <c r="D11" s="63"/>
      <c r="E11" s="4"/>
      <c r="F11" s="4"/>
      <c r="G11" s="64"/>
      <c r="H11" s="4"/>
      <c r="I11" s="4"/>
      <c r="J11" s="65"/>
    </row>
    <row r="12" spans="1:10" ht="15.75" thickBot="1" x14ac:dyDescent="0.3">
      <c r="A12" s="364">
        <f>+B12/$B$10</f>
        <v>0.51202141953617797</v>
      </c>
      <c r="B12" s="96">
        <f>SUM(J13:J22)</f>
        <v>575700</v>
      </c>
      <c r="D12" s="195">
        <v>1</v>
      </c>
      <c r="E12" s="196" t="s">
        <v>68</v>
      </c>
      <c r="F12" s="197"/>
      <c r="G12" s="198"/>
      <c r="H12" s="197"/>
      <c r="I12" s="261">
        <v>6</v>
      </c>
      <c r="J12" s="203">
        <f>+SUM(J13:J22)</f>
        <v>575700</v>
      </c>
    </row>
    <row r="13" spans="1:10" ht="15.75" thickBot="1" x14ac:dyDescent="0.3">
      <c r="D13" s="292" t="s">
        <v>69</v>
      </c>
      <c r="E13" s="293" t="s">
        <v>70</v>
      </c>
      <c r="F13" s="294">
        <v>1</v>
      </c>
      <c r="G13" s="295">
        <v>71500</v>
      </c>
      <c r="H13" s="296">
        <v>0.3</v>
      </c>
      <c r="I13" s="297">
        <v>6</v>
      </c>
      <c r="J13" s="298">
        <f>+G13*H13*I13</f>
        <v>128700</v>
      </c>
    </row>
    <row r="14" spans="1:10" ht="15.75" thickBot="1" x14ac:dyDescent="0.3">
      <c r="D14" s="282" t="s">
        <v>71</v>
      </c>
      <c r="E14" s="283" t="s">
        <v>72</v>
      </c>
      <c r="F14" s="284">
        <v>1</v>
      </c>
      <c r="G14" s="285">
        <v>14300</v>
      </c>
      <c r="H14" s="286">
        <v>0.3</v>
      </c>
      <c r="I14" s="287">
        <v>6</v>
      </c>
      <c r="J14" s="298">
        <f t="shared" ref="J14:J22" si="0">+G14*H14*I14</f>
        <v>25740</v>
      </c>
    </row>
    <row r="15" spans="1:10" ht="15.75" thickBot="1" x14ac:dyDescent="0.3">
      <c r="D15" s="97" t="s">
        <v>73</v>
      </c>
      <c r="E15" s="98" t="s">
        <v>74</v>
      </c>
      <c r="F15" s="99">
        <v>0</v>
      </c>
      <c r="G15" s="100">
        <v>300</v>
      </c>
      <c r="H15" s="101">
        <v>0</v>
      </c>
      <c r="I15" s="102">
        <v>0</v>
      </c>
      <c r="J15" s="298">
        <f t="shared" si="0"/>
        <v>0</v>
      </c>
    </row>
    <row r="16" spans="1:10" ht="15.75" thickBot="1" x14ac:dyDescent="0.3">
      <c r="D16" s="97" t="s">
        <v>75</v>
      </c>
      <c r="E16" s="98" t="s">
        <v>76</v>
      </c>
      <c r="F16" s="99">
        <v>0</v>
      </c>
      <c r="G16" s="100">
        <v>18000</v>
      </c>
      <c r="H16" s="101">
        <v>0</v>
      </c>
      <c r="I16" s="102">
        <v>0</v>
      </c>
      <c r="J16" s="298">
        <f t="shared" si="0"/>
        <v>0</v>
      </c>
    </row>
    <row r="17" spans="1:12" ht="15.75" thickBot="1" x14ac:dyDescent="0.3">
      <c r="D17" s="97" t="s">
        <v>77</v>
      </c>
      <c r="E17" s="98" t="s">
        <v>78</v>
      </c>
      <c r="F17" s="99">
        <v>0</v>
      </c>
      <c r="G17" s="100">
        <v>500</v>
      </c>
      <c r="H17" s="101">
        <v>0</v>
      </c>
      <c r="I17" s="102">
        <v>0</v>
      </c>
      <c r="J17" s="298">
        <f t="shared" si="0"/>
        <v>0</v>
      </c>
    </row>
    <row r="18" spans="1:12" ht="15.75" thickBot="1" x14ac:dyDescent="0.3">
      <c r="D18" s="282" t="s">
        <v>79</v>
      </c>
      <c r="E18" s="283" t="s">
        <v>80</v>
      </c>
      <c r="F18" s="284">
        <v>1</v>
      </c>
      <c r="G18" s="285">
        <v>30175</v>
      </c>
      <c r="H18" s="286">
        <v>1</v>
      </c>
      <c r="I18" s="287">
        <v>6</v>
      </c>
      <c r="J18" s="298">
        <f t="shared" si="0"/>
        <v>181050</v>
      </c>
      <c r="K18" s="103"/>
    </row>
    <row r="19" spans="1:12" ht="15.75" thickBot="1" x14ac:dyDescent="0.3">
      <c r="D19" s="282" t="s">
        <v>81</v>
      </c>
      <c r="E19" s="283" t="s">
        <v>82</v>
      </c>
      <c r="F19" s="284">
        <v>1</v>
      </c>
      <c r="G19" s="285">
        <v>6035</v>
      </c>
      <c r="H19" s="286">
        <v>1</v>
      </c>
      <c r="I19" s="287">
        <v>6</v>
      </c>
      <c r="J19" s="298">
        <f t="shared" si="0"/>
        <v>36210</v>
      </c>
      <c r="K19" s="103"/>
      <c r="L19" s="393"/>
    </row>
    <row r="20" spans="1:12" ht="15.75" thickBot="1" x14ac:dyDescent="0.3">
      <c r="D20" s="282" t="s">
        <v>83</v>
      </c>
      <c r="E20" s="283" t="s">
        <v>84</v>
      </c>
      <c r="F20" s="284">
        <v>1</v>
      </c>
      <c r="G20" s="285">
        <v>300000</v>
      </c>
      <c r="H20" s="286">
        <v>0.1</v>
      </c>
      <c r="I20" s="287">
        <v>6</v>
      </c>
      <c r="J20" s="298">
        <f t="shared" si="0"/>
        <v>180000</v>
      </c>
    </row>
    <row r="21" spans="1:12" ht="15.75" thickBot="1" x14ac:dyDescent="0.3">
      <c r="D21" s="97" t="s">
        <v>85</v>
      </c>
      <c r="E21" s="98" t="s">
        <v>86</v>
      </c>
      <c r="F21" s="99">
        <v>0</v>
      </c>
      <c r="G21" s="100">
        <v>500</v>
      </c>
      <c r="H21" s="101">
        <v>0</v>
      </c>
      <c r="I21" s="102">
        <v>1</v>
      </c>
      <c r="J21" s="298">
        <f t="shared" si="0"/>
        <v>0</v>
      </c>
    </row>
    <row r="22" spans="1:12" ht="15.75" thickBot="1" x14ac:dyDescent="0.3">
      <c r="D22" s="300" t="s">
        <v>87</v>
      </c>
      <c r="E22" s="264" t="s">
        <v>88</v>
      </c>
      <c r="F22" s="288">
        <v>1</v>
      </c>
      <c r="G22" s="289">
        <v>40000</v>
      </c>
      <c r="H22" s="290">
        <v>0.1</v>
      </c>
      <c r="I22" s="291">
        <v>6</v>
      </c>
      <c r="J22" s="298">
        <f t="shared" si="0"/>
        <v>24000</v>
      </c>
    </row>
    <row r="23" spans="1:12" ht="15.75" thickBot="1" x14ac:dyDescent="0.3">
      <c r="D23" s="104"/>
      <c r="E23" s="105"/>
      <c r="F23" s="106"/>
      <c r="G23" s="107"/>
      <c r="H23" s="106"/>
      <c r="I23" s="108"/>
      <c r="J23" s="109"/>
    </row>
    <row r="24" spans="1:12" ht="15.75" thickBot="1" x14ac:dyDescent="0.3">
      <c r="A24" s="364">
        <f>+B24/$B$10</f>
        <v>0.12489507156589272</v>
      </c>
      <c r="B24" s="96">
        <f>SUM(J25:J35)</f>
        <v>140427.9</v>
      </c>
      <c r="D24" s="199">
        <v>2</v>
      </c>
      <c r="E24" s="200" t="s">
        <v>89</v>
      </c>
      <c r="F24" s="201"/>
      <c r="G24" s="202"/>
      <c r="H24" s="201"/>
      <c r="I24" s="201"/>
      <c r="J24" s="203">
        <f>+SUM(J25:J35)</f>
        <v>140427.9</v>
      </c>
    </row>
    <row r="25" spans="1:12" ht="15.75" thickBot="1" x14ac:dyDescent="0.3">
      <c r="D25" s="359" t="s">
        <v>90</v>
      </c>
      <c r="E25" s="111" t="s">
        <v>91</v>
      </c>
      <c r="F25" s="112">
        <v>0</v>
      </c>
      <c r="G25" s="113">
        <v>225.34600000000003</v>
      </c>
      <c r="H25" s="114">
        <v>0</v>
      </c>
      <c r="I25" s="115">
        <v>1</v>
      </c>
      <c r="J25" s="298">
        <f t="shared" ref="J25:J35" si="1">+G25*H25*I25</f>
        <v>0</v>
      </c>
    </row>
    <row r="26" spans="1:12" ht="15.75" thickBot="1" x14ac:dyDescent="0.3">
      <c r="D26" s="117" t="s">
        <v>92</v>
      </c>
      <c r="E26" s="98" t="s">
        <v>93</v>
      </c>
      <c r="F26" s="99">
        <v>0</v>
      </c>
      <c r="G26" s="100">
        <v>162.536</v>
      </c>
      <c r="H26" s="101">
        <v>0</v>
      </c>
      <c r="I26" s="102">
        <v>1</v>
      </c>
      <c r="J26" s="298">
        <f t="shared" si="1"/>
        <v>0</v>
      </c>
    </row>
    <row r="27" spans="1:12" ht="15.75" thickBot="1" x14ac:dyDescent="0.3">
      <c r="D27" s="117" t="s">
        <v>94</v>
      </c>
      <c r="E27" s="98" t="s">
        <v>95</v>
      </c>
      <c r="F27" s="99">
        <v>0</v>
      </c>
      <c r="G27" s="100">
        <v>85819.008000000002</v>
      </c>
      <c r="H27" s="101">
        <v>0</v>
      </c>
      <c r="I27" s="102">
        <v>1</v>
      </c>
      <c r="J27" s="298">
        <f t="shared" si="1"/>
        <v>0</v>
      </c>
    </row>
    <row r="28" spans="1:12" ht="15.75" thickBot="1" x14ac:dyDescent="0.3">
      <c r="D28" s="117" t="s">
        <v>96</v>
      </c>
      <c r="E28" s="98" t="s">
        <v>97</v>
      </c>
      <c r="F28" s="99">
        <v>0</v>
      </c>
      <c r="G28" s="100">
        <v>85819.008000000002</v>
      </c>
      <c r="H28" s="101">
        <v>0</v>
      </c>
      <c r="I28" s="102">
        <v>1</v>
      </c>
      <c r="J28" s="298">
        <f t="shared" si="1"/>
        <v>0</v>
      </c>
    </row>
    <row r="29" spans="1:12" ht="15.75" thickBot="1" x14ac:dyDescent="0.3">
      <c r="D29" s="117" t="s">
        <v>98</v>
      </c>
      <c r="E29" s="98" t="s">
        <v>99</v>
      </c>
      <c r="F29" s="99">
        <v>0</v>
      </c>
      <c r="G29" s="100">
        <v>5000</v>
      </c>
      <c r="H29" s="101">
        <v>0</v>
      </c>
      <c r="I29" s="102">
        <v>1</v>
      </c>
      <c r="J29" s="298">
        <f t="shared" si="1"/>
        <v>0</v>
      </c>
    </row>
    <row r="30" spans="1:12" ht="15.75" thickBot="1" x14ac:dyDescent="0.3">
      <c r="D30" s="117" t="s">
        <v>100</v>
      </c>
      <c r="E30" s="98" t="s">
        <v>101</v>
      </c>
      <c r="F30" s="99">
        <v>0</v>
      </c>
      <c r="G30" s="100">
        <v>1500</v>
      </c>
      <c r="H30" s="101">
        <v>0</v>
      </c>
      <c r="I30" s="102">
        <v>1</v>
      </c>
      <c r="J30" s="298">
        <f t="shared" si="1"/>
        <v>0</v>
      </c>
      <c r="K30" s="103"/>
    </row>
    <row r="31" spans="1:12" ht="15.75" thickBot="1" x14ac:dyDescent="0.3">
      <c r="D31" s="117" t="s">
        <v>102</v>
      </c>
      <c r="E31" s="98" t="s">
        <v>103</v>
      </c>
      <c r="F31" s="99">
        <v>0</v>
      </c>
      <c r="G31" s="100">
        <v>9152</v>
      </c>
      <c r="H31" s="101">
        <v>0</v>
      </c>
      <c r="I31" s="102">
        <v>1</v>
      </c>
      <c r="J31" s="298">
        <f t="shared" si="1"/>
        <v>0</v>
      </c>
      <c r="K31" s="103"/>
    </row>
    <row r="32" spans="1:12" ht="15.75" thickBot="1" x14ac:dyDescent="0.3">
      <c r="D32" s="282" t="s">
        <v>104</v>
      </c>
      <c r="E32" s="283" t="s">
        <v>105</v>
      </c>
      <c r="F32" s="284">
        <v>1</v>
      </c>
      <c r="G32" s="285">
        <v>40000</v>
      </c>
      <c r="H32" s="286">
        <v>0.2</v>
      </c>
      <c r="I32" s="287">
        <v>6</v>
      </c>
      <c r="J32" s="298">
        <f t="shared" si="1"/>
        <v>48000</v>
      </c>
      <c r="K32" s="103"/>
    </row>
    <row r="33" spans="1:11" ht="15.75" thickBot="1" x14ac:dyDescent="0.3">
      <c r="D33" s="117" t="s">
        <v>106</v>
      </c>
      <c r="E33" s="98" t="s">
        <v>107</v>
      </c>
      <c r="F33" s="99">
        <v>0</v>
      </c>
      <c r="G33" s="100">
        <v>9152</v>
      </c>
      <c r="H33" s="101">
        <v>0</v>
      </c>
      <c r="I33" s="102">
        <v>1</v>
      </c>
      <c r="J33" s="298">
        <f t="shared" si="1"/>
        <v>0</v>
      </c>
      <c r="K33" s="103"/>
    </row>
    <row r="34" spans="1:11" ht="15.75" thickBot="1" x14ac:dyDescent="0.3">
      <c r="D34" s="282" t="s">
        <v>108</v>
      </c>
      <c r="E34" s="283" t="s">
        <v>109</v>
      </c>
      <c r="F34" s="284">
        <v>1</v>
      </c>
      <c r="G34" s="285">
        <v>2000</v>
      </c>
      <c r="H34" s="286">
        <v>1</v>
      </c>
      <c r="I34" s="287">
        <v>6</v>
      </c>
      <c r="J34" s="298">
        <f t="shared" si="1"/>
        <v>12000</v>
      </c>
      <c r="K34" s="103"/>
    </row>
    <row r="35" spans="1:11" ht="15.75" thickBot="1" x14ac:dyDescent="0.3">
      <c r="D35" s="263" t="s">
        <v>110</v>
      </c>
      <c r="E35" s="264" t="s">
        <v>111</v>
      </c>
      <c r="F35" s="288">
        <v>1</v>
      </c>
      <c r="G35" s="289">
        <v>13404.65</v>
      </c>
      <c r="H35" s="290">
        <v>1</v>
      </c>
      <c r="I35" s="291">
        <v>6</v>
      </c>
      <c r="J35" s="298">
        <f t="shared" si="1"/>
        <v>80427.899999999994</v>
      </c>
    </row>
    <row r="36" spans="1:11" ht="15.75" thickBot="1" x14ac:dyDescent="0.3">
      <c r="D36" s="104"/>
      <c r="E36" s="105"/>
      <c r="F36" s="123"/>
      <c r="G36" s="124"/>
      <c r="H36" s="123"/>
      <c r="I36" s="125"/>
      <c r="J36" s="126"/>
    </row>
    <row r="37" spans="1:11" ht="15.75" thickBot="1" x14ac:dyDescent="0.3">
      <c r="A37" s="364">
        <f>+B37/$B$10</f>
        <v>3.1792433626084589E-2</v>
      </c>
      <c r="B37" s="96">
        <f>SUM(J38:J65)</f>
        <v>35746.363999999943</v>
      </c>
      <c r="D37" s="199">
        <v>3</v>
      </c>
      <c r="E37" s="200" t="s">
        <v>112</v>
      </c>
      <c r="F37" s="201"/>
      <c r="G37" s="202"/>
      <c r="H37" s="201"/>
      <c r="I37" s="201"/>
      <c r="J37" s="203">
        <f>+SUM(J38:J65)</f>
        <v>35746.363999999943</v>
      </c>
    </row>
    <row r="38" spans="1:11" ht="15.75" thickBot="1" x14ac:dyDescent="0.3">
      <c r="D38" s="282" t="s">
        <v>113</v>
      </c>
      <c r="E38" s="283" t="s">
        <v>114</v>
      </c>
      <c r="F38" s="284">
        <v>1</v>
      </c>
      <c r="G38" s="285">
        <v>10346.364</v>
      </c>
      <c r="H38" s="286">
        <v>1</v>
      </c>
      <c r="I38" s="287">
        <v>1</v>
      </c>
      <c r="J38" s="298">
        <f t="shared" ref="J38:J65" si="2">+G38*H38*I38</f>
        <v>10346.364</v>
      </c>
    </row>
    <row r="39" spans="1:11" ht="15.75" thickBot="1" x14ac:dyDescent="0.3">
      <c r="D39" s="97" t="s">
        <v>115</v>
      </c>
      <c r="E39" s="98" t="s">
        <v>116</v>
      </c>
      <c r="F39" s="99">
        <v>0</v>
      </c>
      <c r="G39" s="100">
        <v>15000</v>
      </c>
      <c r="H39" s="101">
        <v>0</v>
      </c>
      <c r="I39" s="102">
        <v>1</v>
      </c>
      <c r="J39" s="298">
        <f t="shared" si="2"/>
        <v>0</v>
      </c>
    </row>
    <row r="40" spans="1:11" ht="15.75" thickBot="1" x14ac:dyDescent="0.3">
      <c r="B40" s="127"/>
      <c r="D40" s="97" t="s">
        <v>117</v>
      </c>
      <c r="E40" s="98" t="s">
        <v>118</v>
      </c>
      <c r="F40" s="99">
        <v>0</v>
      </c>
      <c r="G40" s="100">
        <v>5733.333333333333</v>
      </c>
      <c r="H40" s="101">
        <v>0</v>
      </c>
      <c r="I40" s="102">
        <v>1</v>
      </c>
      <c r="J40" s="298">
        <f t="shared" si="2"/>
        <v>0</v>
      </c>
      <c r="K40" s="128"/>
    </row>
    <row r="41" spans="1:11" ht="15.75" thickBot="1" x14ac:dyDescent="0.3">
      <c r="B41" s="130"/>
      <c r="D41" s="97" t="s">
        <v>119</v>
      </c>
      <c r="E41" s="98" t="s">
        <v>120</v>
      </c>
      <c r="F41" s="99">
        <v>0</v>
      </c>
      <c r="G41" s="100">
        <v>4916.666666666667</v>
      </c>
      <c r="H41" s="101">
        <v>0</v>
      </c>
      <c r="I41" s="102">
        <v>1</v>
      </c>
      <c r="J41" s="298">
        <f t="shared" si="2"/>
        <v>0</v>
      </c>
    </row>
    <row r="42" spans="1:11" ht="15.75" thickBot="1" x14ac:dyDescent="0.3">
      <c r="B42" s="130"/>
      <c r="D42" s="97" t="s">
        <v>121</v>
      </c>
      <c r="E42" s="98" t="s">
        <v>122</v>
      </c>
      <c r="F42" s="99">
        <v>0</v>
      </c>
      <c r="G42" s="100">
        <f>3*1133.33333333333</f>
        <v>3399.99999999999</v>
      </c>
      <c r="H42" s="101">
        <v>1</v>
      </c>
      <c r="I42" s="102">
        <v>6</v>
      </c>
      <c r="J42" s="298">
        <f t="shared" si="2"/>
        <v>20399.999999999942</v>
      </c>
    </row>
    <row r="43" spans="1:11" ht="15.75" thickBot="1" x14ac:dyDescent="0.3">
      <c r="B43" s="127"/>
      <c r="D43" s="97" t="s">
        <v>123</v>
      </c>
      <c r="E43" s="98" t="s">
        <v>124</v>
      </c>
      <c r="F43" s="99">
        <v>0</v>
      </c>
      <c r="G43" s="100">
        <v>4533.333333333333</v>
      </c>
      <c r="H43" s="101">
        <v>0</v>
      </c>
      <c r="I43" s="102">
        <v>1</v>
      </c>
      <c r="J43" s="298">
        <f t="shared" si="2"/>
        <v>0</v>
      </c>
    </row>
    <row r="44" spans="1:11" ht="15.75" thickBot="1" x14ac:dyDescent="0.3">
      <c r="D44" s="282" t="s">
        <v>125</v>
      </c>
      <c r="E44" s="283" t="s">
        <v>126</v>
      </c>
      <c r="F44" s="284">
        <v>2</v>
      </c>
      <c r="G44" s="285">
        <v>2500</v>
      </c>
      <c r="H44" s="286">
        <v>1</v>
      </c>
      <c r="I44" s="287">
        <v>2</v>
      </c>
      <c r="J44" s="298">
        <f t="shared" si="2"/>
        <v>5000</v>
      </c>
    </row>
    <row r="45" spans="1:11" ht="15.75" thickBot="1" x14ac:dyDescent="0.3">
      <c r="D45" s="97" t="s">
        <v>127</v>
      </c>
      <c r="E45" s="98" t="s">
        <v>128</v>
      </c>
      <c r="F45" s="99">
        <v>0</v>
      </c>
      <c r="G45" s="100">
        <v>1</v>
      </c>
      <c r="H45" s="101">
        <v>0</v>
      </c>
      <c r="I45" s="102">
        <v>1</v>
      </c>
      <c r="J45" s="298">
        <f t="shared" si="2"/>
        <v>0</v>
      </c>
    </row>
    <row r="46" spans="1:11" ht="15.75" thickBot="1" x14ac:dyDescent="0.3">
      <c r="D46" s="97" t="s">
        <v>129</v>
      </c>
      <c r="E46" s="98" t="s">
        <v>130</v>
      </c>
      <c r="F46" s="99">
        <v>0</v>
      </c>
      <c r="G46" s="100">
        <v>7500</v>
      </c>
      <c r="H46" s="101">
        <v>0</v>
      </c>
      <c r="I46" s="102">
        <v>1</v>
      </c>
      <c r="J46" s="298">
        <f t="shared" si="2"/>
        <v>0</v>
      </c>
    </row>
    <row r="47" spans="1:11" ht="15.75" thickBot="1" x14ac:dyDescent="0.3">
      <c r="D47" s="97" t="s">
        <v>131</v>
      </c>
      <c r="E47" s="98" t="s">
        <v>132</v>
      </c>
      <c r="F47" s="99">
        <v>0</v>
      </c>
      <c r="G47" s="100">
        <v>3500</v>
      </c>
      <c r="H47" s="101">
        <v>0</v>
      </c>
      <c r="I47" s="102">
        <v>1</v>
      </c>
      <c r="J47" s="298">
        <f t="shared" si="2"/>
        <v>0</v>
      </c>
    </row>
    <row r="48" spans="1:11" ht="15.75" thickBot="1" x14ac:dyDescent="0.3">
      <c r="D48" s="97" t="s">
        <v>131</v>
      </c>
      <c r="E48" s="98" t="s">
        <v>133</v>
      </c>
      <c r="F48" s="99">
        <v>0</v>
      </c>
      <c r="G48" s="100">
        <v>10000</v>
      </c>
      <c r="H48" s="101">
        <v>0</v>
      </c>
      <c r="I48" s="102">
        <v>1</v>
      </c>
      <c r="J48" s="298">
        <f t="shared" si="2"/>
        <v>0</v>
      </c>
    </row>
    <row r="49" spans="4:10" ht="15.75" thickBot="1" x14ac:dyDescent="0.3">
      <c r="D49" s="97" t="s">
        <v>134</v>
      </c>
      <c r="E49" s="98" t="s">
        <v>135</v>
      </c>
      <c r="F49" s="99">
        <v>0</v>
      </c>
      <c r="G49" s="100">
        <v>15000</v>
      </c>
      <c r="H49" s="101">
        <v>0</v>
      </c>
      <c r="I49" s="102">
        <v>1</v>
      </c>
      <c r="J49" s="298">
        <f t="shared" si="2"/>
        <v>0</v>
      </c>
    </row>
    <row r="50" spans="4:10" ht="15.75" thickBot="1" x14ac:dyDescent="0.3">
      <c r="D50" s="97" t="s">
        <v>136</v>
      </c>
      <c r="E50" s="98" t="s">
        <v>137</v>
      </c>
      <c r="F50" s="99">
        <v>0</v>
      </c>
      <c r="G50" s="100">
        <v>20000</v>
      </c>
      <c r="H50" s="101">
        <v>0</v>
      </c>
      <c r="I50" s="102">
        <v>1</v>
      </c>
      <c r="J50" s="298">
        <f t="shared" si="2"/>
        <v>0</v>
      </c>
    </row>
    <row r="51" spans="4:10" ht="15.75" thickBot="1" x14ac:dyDescent="0.3">
      <c r="D51" s="97" t="s">
        <v>138</v>
      </c>
      <c r="E51" s="98" t="s">
        <v>139</v>
      </c>
      <c r="F51" s="99">
        <v>0</v>
      </c>
      <c r="G51" s="100">
        <v>35000</v>
      </c>
      <c r="H51" s="101">
        <v>0</v>
      </c>
      <c r="I51" s="102">
        <v>1</v>
      </c>
      <c r="J51" s="298">
        <f t="shared" si="2"/>
        <v>0</v>
      </c>
    </row>
    <row r="52" spans="4:10" ht="15.75" thickBot="1" x14ac:dyDescent="0.3">
      <c r="D52" s="97" t="s">
        <v>140</v>
      </c>
      <c r="E52" s="98" t="s">
        <v>141</v>
      </c>
      <c r="F52" s="99">
        <v>0</v>
      </c>
      <c r="G52" s="100">
        <v>1249</v>
      </c>
      <c r="H52" s="101">
        <v>0</v>
      </c>
      <c r="I52" s="102">
        <v>1</v>
      </c>
      <c r="J52" s="298">
        <f t="shared" si="2"/>
        <v>0</v>
      </c>
    </row>
    <row r="53" spans="4:10" ht="15.75" thickBot="1" x14ac:dyDescent="0.3">
      <c r="D53" s="97" t="s">
        <v>142</v>
      </c>
      <c r="E53" s="98" t="s">
        <v>143</v>
      </c>
      <c r="F53" s="99">
        <v>0</v>
      </c>
      <c r="G53" s="100">
        <v>55000</v>
      </c>
      <c r="H53" s="101">
        <v>0</v>
      </c>
      <c r="I53" s="102">
        <v>1</v>
      </c>
      <c r="J53" s="298">
        <f t="shared" si="2"/>
        <v>0</v>
      </c>
    </row>
    <row r="54" spans="4:10" ht="15.75" thickBot="1" x14ac:dyDescent="0.3">
      <c r="D54" s="97" t="s">
        <v>144</v>
      </c>
      <c r="E54" s="98" t="s">
        <v>145</v>
      </c>
      <c r="F54" s="99">
        <v>0</v>
      </c>
      <c r="G54" s="100">
        <v>4866.9421487603304</v>
      </c>
      <c r="H54" s="101">
        <v>0</v>
      </c>
      <c r="I54" s="102">
        <v>1</v>
      </c>
      <c r="J54" s="298">
        <f t="shared" si="2"/>
        <v>0</v>
      </c>
    </row>
    <row r="55" spans="4:10" ht="15.75" thickBot="1" x14ac:dyDescent="0.3">
      <c r="D55" s="97" t="s">
        <v>146</v>
      </c>
      <c r="E55" s="98" t="s">
        <v>147</v>
      </c>
      <c r="F55" s="99">
        <v>0</v>
      </c>
      <c r="G55" s="100">
        <v>3000</v>
      </c>
      <c r="H55" s="101">
        <v>0</v>
      </c>
      <c r="I55" s="102">
        <v>1</v>
      </c>
      <c r="J55" s="298">
        <f t="shared" si="2"/>
        <v>0</v>
      </c>
    </row>
    <row r="56" spans="4:10" ht="15.75" thickBot="1" x14ac:dyDescent="0.3">
      <c r="D56" s="97" t="s">
        <v>148</v>
      </c>
      <c r="E56" s="98" t="s">
        <v>149</v>
      </c>
      <c r="F56" s="99">
        <v>0</v>
      </c>
      <c r="G56" s="100">
        <v>3140.495867768595</v>
      </c>
      <c r="H56" s="101">
        <v>0</v>
      </c>
      <c r="I56" s="102">
        <v>1</v>
      </c>
      <c r="J56" s="298">
        <f t="shared" si="2"/>
        <v>0</v>
      </c>
    </row>
    <row r="57" spans="4:10" ht="15.75" thickBot="1" x14ac:dyDescent="0.3">
      <c r="D57" s="97" t="s">
        <v>150</v>
      </c>
      <c r="E57" s="98" t="s">
        <v>151</v>
      </c>
      <c r="F57" s="99">
        <v>0</v>
      </c>
      <c r="G57" s="100">
        <v>3181.818181818182</v>
      </c>
      <c r="H57" s="101">
        <v>0</v>
      </c>
      <c r="I57" s="102">
        <v>1</v>
      </c>
      <c r="J57" s="298">
        <f t="shared" si="2"/>
        <v>0</v>
      </c>
    </row>
    <row r="58" spans="4:10" ht="15.75" thickBot="1" x14ac:dyDescent="0.3">
      <c r="D58" s="97" t="s">
        <v>152</v>
      </c>
      <c r="E58" s="98" t="s">
        <v>271</v>
      </c>
      <c r="F58" s="99">
        <v>0</v>
      </c>
      <c r="G58" s="100">
        <v>11570.247933884299</v>
      </c>
      <c r="H58" s="101">
        <v>0</v>
      </c>
      <c r="I58" s="102">
        <v>1</v>
      </c>
      <c r="J58" s="298">
        <f t="shared" si="2"/>
        <v>0</v>
      </c>
    </row>
    <row r="59" spans="4:10" ht="15.75" thickBot="1" x14ac:dyDescent="0.3">
      <c r="D59" s="97" t="s">
        <v>153</v>
      </c>
      <c r="E59" s="98" t="s">
        <v>154</v>
      </c>
      <c r="F59" s="99">
        <v>0</v>
      </c>
      <c r="G59" s="100">
        <v>1000</v>
      </c>
      <c r="H59" s="101">
        <v>0</v>
      </c>
      <c r="I59" s="102">
        <v>1</v>
      </c>
      <c r="J59" s="298">
        <f t="shared" si="2"/>
        <v>0</v>
      </c>
    </row>
    <row r="60" spans="4:10" ht="15.75" thickBot="1" x14ac:dyDescent="0.3">
      <c r="D60" s="97" t="s">
        <v>155</v>
      </c>
      <c r="E60" s="98" t="s">
        <v>135</v>
      </c>
      <c r="F60" s="99">
        <v>0</v>
      </c>
      <c r="G60" s="100">
        <v>5000</v>
      </c>
      <c r="H60" s="101">
        <v>0</v>
      </c>
      <c r="I60" s="102">
        <v>1</v>
      </c>
      <c r="J60" s="298">
        <f t="shared" si="2"/>
        <v>0</v>
      </c>
    </row>
    <row r="61" spans="4:10" ht="15.75" thickBot="1" x14ac:dyDescent="0.3">
      <c r="D61" s="97" t="s">
        <v>156</v>
      </c>
      <c r="E61" s="98" t="s">
        <v>137</v>
      </c>
      <c r="F61" s="99">
        <v>0</v>
      </c>
      <c r="G61" s="100">
        <v>5000</v>
      </c>
      <c r="H61" s="101">
        <v>0</v>
      </c>
      <c r="I61" s="102">
        <v>1</v>
      </c>
      <c r="J61" s="298">
        <f t="shared" si="2"/>
        <v>0</v>
      </c>
    </row>
    <row r="62" spans="4:10" ht="15.75" thickBot="1" x14ac:dyDescent="0.3">
      <c r="D62" s="97" t="s">
        <v>157</v>
      </c>
      <c r="E62" s="98" t="s">
        <v>158</v>
      </c>
      <c r="F62" s="99">
        <v>0</v>
      </c>
      <c r="G62" s="100">
        <v>2500</v>
      </c>
      <c r="H62" s="101">
        <v>0</v>
      </c>
      <c r="I62" s="102">
        <v>1</v>
      </c>
      <c r="J62" s="298">
        <f t="shared" si="2"/>
        <v>0</v>
      </c>
    </row>
    <row r="63" spans="4:10" ht="15.75" thickBot="1" x14ac:dyDescent="0.3">
      <c r="D63" s="97" t="s">
        <v>159</v>
      </c>
      <c r="E63" s="98" t="s">
        <v>160</v>
      </c>
      <c r="F63" s="99">
        <v>0</v>
      </c>
      <c r="G63" s="100">
        <v>10000</v>
      </c>
      <c r="H63" s="101">
        <v>0</v>
      </c>
      <c r="I63" s="102">
        <v>1</v>
      </c>
      <c r="J63" s="298">
        <f t="shared" si="2"/>
        <v>0</v>
      </c>
    </row>
    <row r="64" spans="4:10" ht="15.75" thickBot="1" x14ac:dyDescent="0.3">
      <c r="D64" s="97" t="s">
        <v>161</v>
      </c>
      <c r="E64" s="98" t="s">
        <v>162</v>
      </c>
      <c r="F64" s="99">
        <v>0</v>
      </c>
      <c r="G64" s="100">
        <v>5000</v>
      </c>
      <c r="H64" s="101">
        <v>0</v>
      </c>
      <c r="I64" s="102">
        <v>1</v>
      </c>
      <c r="J64" s="298">
        <f t="shared" si="2"/>
        <v>0</v>
      </c>
    </row>
    <row r="65" spans="1:11" ht="15.75" thickBot="1" x14ac:dyDescent="0.3">
      <c r="D65" s="131" t="s">
        <v>282</v>
      </c>
      <c r="E65" s="118" t="s">
        <v>283</v>
      </c>
      <c r="F65" s="119">
        <v>0</v>
      </c>
      <c r="G65" s="120">
        <v>25000</v>
      </c>
      <c r="H65" s="121">
        <v>0</v>
      </c>
      <c r="I65" s="122">
        <v>1</v>
      </c>
      <c r="J65" s="298">
        <f t="shared" si="2"/>
        <v>0</v>
      </c>
    </row>
    <row r="66" spans="1:11" ht="15.75" thickBot="1" x14ac:dyDescent="0.3">
      <c r="C66" s="4"/>
      <c r="D66" s="97"/>
      <c r="E66" s="132"/>
      <c r="F66" s="123"/>
      <c r="G66" s="124"/>
      <c r="H66" s="123"/>
      <c r="I66" s="125"/>
      <c r="J66" s="126"/>
    </row>
    <row r="67" spans="1:11" ht="15.75" thickBot="1" x14ac:dyDescent="0.3">
      <c r="A67" s="364">
        <f>+B67/$B$10</f>
        <v>0</v>
      </c>
      <c r="B67" s="96">
        <f>SUM(J68:J74)</f>
        <v>0</v>
      </c>
      <c r="D67" s="199">
        <v>4</v>
      </c>
      <c r="E67" s="200" t="s">
        <v>163</v>
      </c>
      <c r="F67" s="201"/>
      <c r="G67" s="202"/>
      <c r="H67" s="201"/>
      <c r="I67" s="201"/>
      <c r="J67" s="203">
        <f>+SUM(J68:J74)</f>
        <v>0</v>
      </c>
      <c r="K67" s="133"/>
    </row>
    <row r="68" spans="1:11" ht="15.75" thickBot="1" x14ac:dyDescent="0.3">
      <c r="D68" s="97" t="s">
        <v>164</v>
      </c>
      <c r="E68" s="98" t="s">
        <v>165</v>
      </c>
      <c r="F68" s="99">
        <v>0</v>
      </c>
      <c r="G68" s="100">
        <v>6000</v>
      </c>
      <c r="H68" s="101">
        <v>0</v>
      </c>
      <c r="I68" s="102">
        <v>1</v>
      </c>
      <c r="J68" s="298">
        <f t="shared" ref="J68:J74" si="3">+G68*H68*I68</f>
        <v>0</v>
      </c>
    </row>
    <row r="69" spans="1:11" ht="15.75" thickBot="1" x14ac:dyDescent="0.3">
      <c r="D69" s="97" t="s">
        <v>166</v>
      </c>
      <c r="E69" s="98" t="s">
        <v>167</v>
      </c>
      <c r="F69" s="99">
        <v>0</v>
      </c>
      <c r="G69" s="100">
        <v>66800</v>
      </c>
      <c r="H69" s="101">
        <v>0</v>
      </c>
      <c r="I69" s="102">
        <v>1</v>
      </c>
      <c r="J69" s="298">
        <f t="shared" si="3"/>
        <v>0</v>
      </c>
      <c r="K69" s="129"/>
    </row>
    <row r="70" spans="1:11" ht="15.75" thickBot="1" x14ac:dyDescent="0.3">
      <c r="D70" s="97" t="s">
        <v>168</v>
      </c>
      <c r="E70" s="98" t="s">
        <v>169</v>
      </c>
      <c r="F70" s="99">
        <v>0</v>
      </c>
      <c r="G70" s="100">
        <v>45000</v>
      </c>
      <c r="H70" s="101">
        <v>0</v>
      </c>
      <c r="I70" s="102">
        <v>1</v>
      </c>
      <c r="J70" s="298">
        <f t="shared" si="3"/>
        <v>0</v>
      </c>
    </row>
    <row r="71" spans="1:11" ht="15.75" thickBot="1" x14ac:dyDescent="0.3">
      <c r="D71" s="97" t="s">
        <v>170</v>
      </c>
      <c r="E71" s="98" t="s">
        <v>171</v>
      </c>
      <c r="F71" s="99">
        <v>0</v>
      </c>
      <c r="G71" s="100">
        <v>120000</v>
      </c>
      <c r="H71" s="101">
        <v>0</v>
      </c>
      <c r="I71" s="102">
        <v>1</v>
      </c>
      <c r="J71" s="298">
        <f t="shared" si="3"/>
        <v>0</v>
      </c>
    </row>
    <row r="72" spans="1:11" ht="15.75" thickBot="1" x14ac:dyDescent="0.3">
      <c r="D72" s="97" t="s">
        <v>172</v>
      </c>
      <c r="E72" s="98" t="s">
        <v>173</v>
      </c>
      <c r="F72" s="99">
        <v>0</v>
      </c>
      <c r="G72" s="100">
        <v>20000</v>
      </c>
      <c r="H72" s="101">
        <v>0</v>
      </c>
      <c r="I72" s="102">
        <v>1</v>
      </c>
      <c r="J72" s="298">
        <f t="shared" si="3"/>
        <v>0</v>
      </c>
    </row>
    <row r="73" spans="1:11" ht="15.75" thickBot="1" x14ac:dyDescent="0.3">
      <c r="D73" s="97" t="s">
        <v>174</v>
      </c>
      <c r="E73" s="98" t="s">
        <v>175</v>
      </c>
      <c r="F73" s="99">
        <v>0</v>
      </c>
      <c r="G73" s="100">
        <v>2700</v>
      </c>
      <c r="H73" s="101">
        <v>0</v>
      </c>
      <c r="I73" s="102">
        <v>1</v>
      </c>
      <c r="J73" s="298">
        <f t="shared" si="3"/>
        <v>0</v>
      </c>
      <c r="K73" s="129"/>
    </row>
    <row r="74" spans="1:11" ht="15.75" thickBot="1" x14ac:dyDescent="0.3">
      <c r="D74" s="269" t="s">
        <v>176</v>
      </c>
      <c r="E74" s="299" t="s">
        <v>177</v>
      </c>
      <c r="F74" s="119">
        <v>0</v>
      </c>
      <c r="G74" s="120">
        <v>4000</v>
      </c>
      <c r="H74" s="121">
        <v>0</v>
      </c>
      <c r="I74" s="122">
        <v>1</v>
      </c>
      <c r="J74" s="298">
        <f t="shared" si="3"/>
        <v>0</v>
      </c>
    </row>
    <row r="75" spans="1:11" ht="15.75" thickBot="1" x14ac:dyDescent="0.3">
      <c r="D75" s="134"/>
      <c r="E75" s="132"/>
      <c r="F75" s="123"/>
      <c r="G75" s="124"/>
      <c r="H75" s="123"/>
      <c r="I75" s="125"/>
      <c r="J75" s="126"/>
    </row>
    <row r="76" spans="1:11" ht="15.75" thickBot="1" x14ac:dyDescent="0.3">
      <c r="A76" s="364">
        <f>+B76/$B$10</f>
        <v>0.1097506395184373</v>
      </c>
      <c r="B76" s="96">
        <f>SUM(J77:J91)</f>
        <v>123400</v>
      </c>
      <c r="D76" s="199">
        <v>5</v>
      </c>
      <c r="E76" s="200" t="s">
        <v>178</v>
      </c>
      <c r="F76" s="201"/>
      <c r="G76" s="202"/>
      <c r="H76" s="201"/>
      <c r="I76" s="201"/>
      <c r="J76" s="203">
        <f>+SUM(J77:J91)</f>
        <v>123400</v>
      </c>
    </row>
    <row r="77" spans="1:11" ht="15.75" thickBot="1" x14ac:dyDescent="0.3">
      <c r="D77" s="282" t="s">
        <v>179</v>
      </c>
      <c r="E77" s="283" t="s">
        <v>180</v>
      </c>
      <c r="F77" s="284">
        <v>1</v>
      </c>
      <c r="G77" s="285">
        <v>8000</v>
      </c>
      <c r="H77" s="286">
        <v>1</v>
      </c>
      <c r="I77" s="287">
        <v>6</v>
      </c>
      <c r="J77" s="298">
        <f t="shared" ref="J77:J91" si="4">+G77*H77*I77</f>
        <v>48000</v>
      </c>
      <c r="K77" s="103"/>
    </row>
    <row r="78" spans="1:11" ht="15.75" thickBot="1" x14ac:dyDescent="0.3">
      <c r="D78" s="97" t="s">
        <v>181</v>
      </c>
      <c r="E78" s="98" t="s">
        <v>182</v>
      </c>
      <c r="F78" s="99">
        <v>0</v>
      </c>
      <c r="G78" s="100">
        <v>40000</v>
      </c>
      <c r="H78" s="101">
        <v>0</v>
      </c>
      <c r="I78" s="102">
        <v>1</v>
      </c>
      <c r="J78" s="298">
        <f t="shared" si="4"/>
        <v>0</v>
      </c>
    </row>
    <row r="79" spans="1:11" ht="15.75" thickBot="1" x14ac:dyDescent="0.3">
      <c r="D79" s="97" t="s">
        <v>183</v>
      </c>
      <c r="E79" s="98" t="s">
        <v>184</v>
      </c>
      <c r="F79" s="99">
        <v>0</v>
      </c>
      <c r="G79" s="100">
        <v>2500</v>
      </c>
      <c r="H79" s="101">
        <v>0</v>
      </c>
      <c r="I79" s="102">
        <v>1</v>
      </c>
      <c r="J79" s="298">
        <f t="shared" si="4"/>
        <v>0</v>
      </c>
    </row>
    <row r="80" spans="1:11" ht="15.75" thickBot="1" x14ac:dyDescent="0.3">
      <c r="D80" s="97" t="s">
        <v>185</v>
      </c>
      <c r="E80" s="98" t="s">
        <v>186</v>
      </c>
      <c r="F80" s="99">
        <v>0</v>
      </c>
      <c r="G80" s="100">
        <v>30000</v>
      </c>
      <c r="H80" s="101">
        <v>0</v>
      </c>
      <c r="I80" s="102">
        <v>1</v>
      </c>
      <c r="J80" s="298">
        <f t="shared" si="4"/>
        <v>0</v>
      </c>
    </row>
    <row r="81" spans="1:11" ht="15.75" thickBot="1" x14ac:dyDescent="0.3">
      <c r="D81" s="97" t="s">
        <v>187</v>
      </c>
      <c r="E81" s="98" t="s">
        <v>188</v>
      </c>
      <c r="F81" s="99">
        <v>0</v>
      </c>
      <c r="G81" s="100">
        <v>5000</v>
      </c>
      <c r="H81" s="101">
        <v>0</v>
      </c>
      <c r="I81" s="102">
        <v>1</v>
      </c>
      <c r="J81" s="298">
        <f t="shared" si="4"/>
        <v>0</v>
      </c>
    </row>
    <row r="82" spans="1:11" ht="15.75" thickBot="1" x14ac:dyDescent="0.3">
      <c r="D82" s="97" t="s">
        <v>189</v>
      </c>
      <c r="E82" s="98" t="s">
        <v>190</v>
      </c>
      <c r="F82" s="99">
        <v>0</v>
      </c>
      <c r="G82" s="100">
        <v>2000</v>
      </c>
      <c r="H82" s="101">
        <v>0</v>
      </c>
      <c r="I82" s="102">
        <v>1</v>
      </c>
      <c r="J82" s="298">
        <f t="shared" si="4"/>
        <v>0</v>
      </c>
      <c r="K82" s="103"/>
    </row>
    <row r="83" spans="1:11" ht="15.75" thickBot="1" x14ac:dyDescent="0.3">
      <c r="D83" s="97" t="s">
        <v>191</v>
      </c>
      <c r="E83" s="98" t="s">
        <v>192</v>
      </c>
      <c r="F83" s="99">
        <v>0</v>
      </c>
      <c r="G83" s="100">
        <v>2500</v>
      </c>
      <c r="H83" s="101">
        <v>0</v>
      </c>
      <c r="I83" s="102">
        <v>1</v>
      </c>
      <c r="J83" s="298">
        <f t="shared" si="4"/>
        <v>0</v>
      </c>
      <c r="K83" s="103"/>
    </row>
    <row r="84" spans="1:11" ht="15.75" thickBot="1" x14ac:dyDescent="0.3">
      <c r="D84" s="282" t="s">
        <v>193</v>
      </c>
      <c r="E84" s="283" t="s">
        <v>194</v>
      </c>
      <c r="F84" s="284">
        <v>1</v>
      </c>
      <c r="G84" s="285">
        <v>3500</v>
      </c>
      <c r="H84" s="286">
        <v>1</v>
      </c>
      <c r="I84" s="287">
        <v>1</v>
      </c>
      <c r="J84" s="298">
        <f t="shared" si="4"/>
        <v>3500</v>
      </c>
    </row>
    <row r="85" spans="1:11" ht="15.75" thickBot="1" x14ac:dyDescent="0.3">
      <c r="D85" s="282" t="s">
        <v>195</v>
      </c>
      <c r="E85" s="283" t="s">
        <v>196</v>
      </c>
      <c r="F85" s="284">
        <v>1</v>
      </c>
      <c r="G85" s="285">
        <v>3500</v>
      </c>
      <c r="H85" s="286">
        <v>1</v>
      </c>
      <c r="I85" s="287">
        <v>1</v>
      </c>
      <c r="J85" s="298">
        <f t="shared" si="4"/>
        <v>3500</v>
      </c>
    </row>
    <row r="86" spans="1:11" ht="15.75" thickBot="1" x14ac:dyDescent="0.3">
      <c r="D86" s="97" t="s">
        <v>197</v>
      </c>
      <c r="E86" s="98" t="s">
        <v>198</v>
      </c>
      <c r="F86" s="99">
        <v>0</v>
      </c>
      <c r="G86" s="100">
        <v>20000</v>
      </c>
      <c r="H86" s="101">
        <v>0</v>
      </c>
      <c r="I86" s="102">
        <v>1</v>
      </c>
      <c r="J86" s="298">
        <f t="shared" si="4"/>
        <v>0</v>
      </c>
      <c r="K86" s="135"/>
    </row>
    <row r="87" spans="1:11" ht="15.75" thickBot="1" x14ac:dyDescent="0.3">
      <c r="D87" s="97" t="s">
        <v>199</v>
      </c>
      <c r="E87" s="98" t="s">
        <v>200</v>
      </c>
      <c r="F87" s="99">
        <v>0</v>
      </c>
      <c r="G87" s="100">
        <v>20000</v>
      </c>
      <c r="H87" s="101">
        <v>0</v>
      </c>
      <c r="I87" s="102">
        <v>1</v>
      </c>
      <c r="J87" s="298">
        <f t="shared" si="4"/>
        <v>0</v>
      </c>
    </row>
    <row r="88" spans="1:11" ht="15.75" thickBot="1" x14ac:dyDescent="0.3">
      <c r="D88" s="97" t="s">
        <v>201</v>
      </c>
      <c r="E88" s="98" t="s">
        <v>202</v>
      </c>
      <c r="F88" s="99">
        <v>0</v>
      </c>
      <c r="G88" s="100">
        <v>3000</v>
      </c>
      <c r="H88" s="101">
        <v>0</v>
      </c>
      <c r="I88" s="102">
        <v>1</v>
      </c>
      <c r="J88" s="298">
        <f t="shared" si="4"/>
        <v>0</v>
      </c>
    </row>
    <row r="89" spans="1:11" ht="15.75" thickBot="1" x14ac:dyDescent="0.3">
      <c r="D89" s="97" t="s">
        <v>203</v>
      </c>
      <c r="E89" s="98" t="s">
        <v>204</v>
      </c>
      <c r="F89" s="99">
        <v>0</v>
      </c>
      <c r="G89" s="100">
        <v>5000</v>
      </c>
      <c r="H89" s="101">
        <v>0</v>
      </c>
      <c r="I89" s="102">
        <v>1</v>
      </c>
      <c r="J89" s="298">
        <f t="shared" si="4"/>
        <v>0</v>
      </c>
    </row>
    <row r="90" spans="1:11" ht="15.75" thickBot="1" x14ac:dyDescent="0.3">
      <c r="D90" s="282" t="s">
        <v>205</v>
      </c>
      <c r="E90" s="283" t="s">
        <v>206</v>
      </c>
      <c r="F90" s="284">
        <v>1</v>
      </c>
      <c r="G90" s="285">
        <v>1800</v>
      </c>
      <c r="H90" s="286">
        <v>3</v>
      </c>
      <c r="I90" s="287">
        <v>6</v>
      </c>
      <c r="J90" s="298">
        <f t="shared" si="4"/>
        <v>32400</v>
      </c>
    </row>
    <row r="91" spans="1:11" ht="15.75" thickBot="1" x14ac:dyDescent="0.3">
      <c r="D91" s="263" t="s">
        <v>207</v>
      </c>
      <c r="E91" s="264" t="s">
        <v>484</v>
      </c>
      <c r="F91" s="288">
        <v>1</v>
      </c>
      <c r="G91" s="289">
        <v>2000</v>
      </c>
      <c r="H91" s="290">
        <v>3</v>
      </c>
      <c r="I91" s="291">
        <v>6</v>
      </c>
      <c r="J91" s="298">
        <f t="shared" si="4"/>
        <v>36000</v>
      </c>
    </row>
    <row r="92" spans="1:11" ht="15.75" thickBot="1" x14ac:dyDescent="0.3">
      <c r="D92" s="104"/>
      <c r="E92" s="105"/>
      <c r="F92" s="123"/>
      <c r="G92" s="124" t="s">
        <v>49</v>
      </c>
      <c r="H92" s="123"/>
      <c r="I92" s="125"/>
      <c r="J92" s="126"/>
    </row>
    <row r="93" spans="1:11" ht="15.75" thickBot="1" x14ac:dyDescent="0.3">
      <c r="A93" s="364">
        <f>+B93/$B$10</f>
        <v>6.6704197438272267E-3</v>
      </c>
      <c r="B93" s="96">
        <f>SUM(J94:J99)</f>
        <v>7500</v>
      </c>
      <c r="D93" s="199">
        <v>6</v>
      </c>
      <c r="E93" s="200" t="s">
        <v>208</v>
      </c>
      <c r="F93" s="201"/>
      <c r="G93" s="202"/>
      <c r="H93" s="201"/>
      <c r="I93" s="201"/>
      <c r="J93" s="203">
        <f>+SUM(J94:J100)</f>
        <v>7500</v>
      </c>
    </row>
    <row r="94" spans="1:11" ht="15.75" thickBot="1" x14ac:dyDescent="0.3">
      <c r="D94" s="110" t="s">
        <v>209</v>
      </c>
      <c r="E94" s="111" t="s">
        <v>210</v>
      </c>
      <c r="F94" s="112">
        <v>0</v>
      </c>
      <c r="G94" s="113">
        <v>5000</v>
      </c>
      <c r="H94" s="114">
        <v>0</v>
      </c>
      <c r="I94" s="115">
        <v>1</v>
      </c>
      <c r="J94" s="298">
        <f t="shared" ref="J94:J99" si="5">+G94*H94*I94</f>
        <v>0</v>
      </c>
    </row>
    <row r="95" spans="1:11" ht="15.75" thickBot="1" x14ac:dyDescent="0.3">
      <c r="D95" s="97" t="s">
        <v>211</v>
      </c>
      <c r="E95" s="98" t="s">
        <v>212</v>
      </c>
      <c r="F95" s="99">
        <v>0</v>
      </c>
      <c r="G95" s="100">
        <v>2000</v>
      </c>
      <c r="H95" s="101">
        <v>0</v>
      </c>
      <c r="I95" s="102">
        <v>1</v>
      </c>
      <c r="J95" s="298">
        <f t="shared" si="5"/>
        <v>0</v>
      </c>
    </row>
    <row r="96" spans="1:11" ht="15.75" thickBot="1" x14ac:dyDescent="0.3">
      <c r="D96" s="97" t="s">
        <v>213</v>
      </c>
      <c r="E96" s="98" t="s">
        <v>214</v>
      </c>
      <c r="F96" s="99">
        <v>0</v>
      </c>
      <c r="G96" s="100">
        <v>1000</v>
      </c>
      <c r="H96" s="101">
        <v>0</v>
      </c>
      <c r="I96" s="102">
        <v>1</v>
      </c>
      <c r="J96" s="298">
        <f t="shared" si="5"/>
        <v>0</v>
      </c>
    </row>
    <row r="97" spans="1:14" ht="15.75" thickBot="1" x14ac:dyDescent="0.3">
      <c r="D97" s="282" t="s">
        <v>215</v>
      </c>
      <c r="E97" s="283" t="s">
        <v>216</v>
      </c>
      <c r="F97" s="284">
        <v>1</v>
      </c>
      <c r="G97" s="285">
        <v>5000</v>
      </c>
      <c r="H97" s="286">
        <v>0.25</v>
      </c>
      <c r="I97" s="287">
        <v>6</v>
      </c>
      <c r="J97" s="298">
        <f t="shared" si="5"/>
        <v>7500</v>
      </c>
    </row>
    <row r="98" spans="1:14" ht="15.75" thickBot="1" x14ac:dyDescent="0.3">
      <c r="D98" s="97" t="s">
        <v>217</v>
      </c>
      <c r="E98" s="98" t="s">
        <v>137</v>
      </c>
      <c r="F98" s="99">
        <v>0</v>
      </c>
      <c r="G98" s="100">
        <v>3000</v>
      </c>
      <c r="H98" s="101">
        <v>0</v>
      </c>
      <c r="I98" s="102">
        <v>1</v>
      </c>
      <c r="J98" s="298">
        <f t="shared" si="5"/>
        <v>0</v>
      </c>
    </row>
    <row r="99" spans="1:14" ht="15.75" thickBot="1" x14ac:dyDescent="0.3">
      <c r="D99" s="269" t="s">
        <v>218</v>
      </c>
      <c r="E99" s="299" t="s">
        <v>219</v>
      </c>
      <c r="F99" s="119">
        <v>0</v>
      </c>
      <c r="G99" s="120">
        <v>5000</v>
      </c>
      <c r="H99" s="121">
        <v>0</v>
      </c>
      <c r="I99" s="122">
        <v>0</v>
      </c>
      <c r="J99" s="298">
        <f t="shared" si="5"/>
        <v>0</v>
      </c>
    </row>
    <row r="100" spans="1:14" ht="15.75" thickBot="1" x14ac:dyDescent="0.3">
      <c r="D100" s="97"/>
      <c r="E100" s="136"/>
      <c r="F100" s="137"/>
      <c r="G100" s="138"/>
      <c r="H100" s="137"/>
      <c r="I100" s="125"/>
      <c r="J100" s="126"/>
    </row>
    <row r="101" spans="1:14" ht="15.75" thickBot="1" x14ac:dyDescent="0.3">
      <c r="A101" s="364">
        <f>+B101/$B$10</f>
        <v>5.0873067912922315E-2</v>
      </c>
      <c r="B101" s="96">
        <f>SUM(J102:J109)</f>
        <v>57200</v>
      </c>
      <c r="D101" s="195">
        <v>7</v>
      </c>
      <c r="E101" s="196" t="s">
        <v>220</v>
      </c>
      <c r="F101" s="197"/>
      <c r="G101" s="198"/>
      <c r="H101" s="197"/>
      <c r="I101" s="197"/>
      <c r="J101" s="203">
        <f>+SUM(J102:J109)</f>
        <v>57200</v>
      </c>
    </row>
    <row r="102" spans="1:14" ht="15.75" thickBot="1" x14ac:dyDescent="0.3">
      <c r="D102" s="292" t="s">
        <v>221</v>
      </c>
      <c r="E102" s="293" t="s">
        <v>222</v>
      </c>
      <c r="F102" s="294">
        <v>1</v>
      </c>
      <c r="G102" s="295">
        <v>25000</v>
      </c>
      <c r="H102" s="296">
        <v>0.2</v>
      </c>
      <c r="I102" s="297">
        <v>6</v>
      </c>
      <c r="J102" s="298">
        <f t="shared" ref="J102:J109" si="6">+G102*H102*I102</f>
        <v>30000</v>
      </c>
    </row>
    <row r="103" spans="1:14" ht="15.75" thickBot="1" x14ac:dyDescent="0.3">
      <c r="D103" s="97" t="s">
        <v>223</v>
      </c>
      <c r="E103" s="139" t="s">
        <v>224</v>
      </c>
      <c r="F103" s="99">
        <v>1</v>
      </c>
      <c r="G103" s="100">
        <v>14000</v>
      </c>
      <c r="H103" s="101">
        <v>1</v>
      </c>
      <c r="I103" s="102">
        <v>1</v>
      </c>
      <c r="J103" s="298">
        <f t="shared" si="6"/>
        <v>14000</v>
      </c>
      <c r="K103" s="140"/>
    </row>
    <row r="104" spans="1:14" ht="15.75" thickBot="1" x14ac:dyDescent="0.3">
      <c r="D104" s="282" t="s">
        <v>225</v>
      </c>
      <c r="E104" s="283" t="s">
        <v>226</v>
      </c>
      <c r="F104" s="284">
        <v>1</v>
      </c>
      <c r="G104" s="285">
        <v>6000</v>
      </c>
      <c r="H104" s="286">
        <v>1</v>
      </c>
      <c r="I104" s="286">
        <v>1</v>
      </c>
      <c r="J104" s="298">
        <f t="shared" si="6"/>
        <v>6000</v>
      </c>
    </row>
    <row r="105" spans="1:14" ht="15.75" thickBot="1" x14ac:dyDescent="0.3">
      <c r="D105" s="97" t="s">
        <v>227</v>
      </c>
      <c r="E105" s="139" t="s">
        <v>228</v>
      </c>
      <c r="F105" s="99">
        <v>0</v>
      </c>
      <c r="G105" s="100">
        <v>36000</v>
      </c>
      <c r="H105" s="101">
        <v>0.2</v>
      </c>
      <c r="I105" s="102">
        <v>1</v>
      </c>
      <c r="J105" s="298">
        <f t="shared" si="6"/>
        <v>7200</v>
      </c>
    </row>
    <row r="106" spans="1:14" ht="15.75" thickBot="1" x14ac:dyDescent="0.3">
      <c r="D106" s="97" t="s">
        <v>229</v>
      </c>
      <c r="E106" s="139" t="s">
        <v>230</v>
      </c>
      <c r="F106" s="99">
        <v>0</v>
      </c>
      <c r="G106" s="100">
        <v>51342.720000000001</v>
      </c>
      <c r="H106" s="101">
        <v>0</v>
      </c>
      <c r="I106" s="102">
        <v>1</v>
      </c>
      <c r="J106" s="298">
        <f t="shared" si="6"/>
        <v>0</v>
      </c>
    </row>
    <row r="107" spans="1:14" ht="15.75" thickBot="1" x14ac:dyDescent="0.3">
      <c r="D107" s="97" t="s">
        <v>231</v>
      </c>
      <c r="E107" s="139" t="s">
        <v>232</v>
      </c>
      <c r="F107" s="99">
        <v>0</v>
      </c>
      <c r="G107" s="100">
        <v>51342.720000000001</v>
      </c>
      <c r="H107" s="101">
        <v>0</v>
      </c>
      <c r="I107" s="102">
        <v>1</v>
      </c>
      <c r="J107" s="298">
        <f t="shared" si="6"/>
        <v>0</v>
      </c>
    </row>
    <row r="108" spans="1:14" ht="15.75" thickBot="1" x14ac:dyDescent="0.3">
      <c r="D108" s="97" t="s">
        <v>233</v>
      </c>
      <c r="E108" s="139" t="s">
        <v>234</v>
      </c>
      <c r="F108" s="99">
        <v>0</v>
      </c>
      <c r="G108" s="100">
        <v>51342.720000000001</v>
      </c>
      <c r="H108" s="101">
        <v>0</v>
      </c>
      <c r="I108" s="102">
        <v>1</v>
      </c>
      <c r="J108" s="298">
        <f t="shared" si="6"/>
        <v>0</v>
      </c>
    </row>
    <row r="109" spans="1:14" ht="15.75" thickBot="1" x14ac:dyDescent="0.3">
      <c r="D109" s="131" t="s">
        <v>235</v>
      </c>
      <c r="E109" s="118" t="s">
        <v>236</v>
      </c>
      <c r="F109" s="119">
        <v>0</v>
      </c>
      <c r="G109" s="120">
        <v>51342.720000000001</v>
      </c>
      <c r="H109" s="121">
        <v>0</v>
      </c>
      <c r="I109" s="122">
        <v>1</v>
      </c>
      <c r="J109" s="298">
        <f t="shared" si="6"/>
        <v>0</v>
      </c>
    </row>
    <row r="110" spans="1:14" ht="15.75" thickBot="1" x14ac:dyDescent="0.3">
      <c r="D110" s="104"/>
      <c r="E110" s="105"/>
      <c r="F110" s="123"/>
      <c r="G110" s="141"/>
      <c r="H110" s="123" t="s">
        <v>49</v>
      </c>
      <c r="I110" s="125"/>
      <c r="J110" s="126"/>
      <c r="L110" s="142"/>
    </row>
    <row r="111" spans="1:14" ht="15.75" thickBot="1" x14ac:dyDescent="0.3">
      <c r="A111" s="364">
        <f>+B111/$B$10</f>
        <v>0.16399694809665794</v>
      </c>
      <c r="B111" s="96">
        <f>SUM(J112:J121)</f>
        <v>184392.76056999998</v>
      </c>
      <c r="D111" s="199">
        <v>8</v>
      </c>
      <c r="E111" s="200" t="s">
        <v>237</v>
      </c>
      <c r="F111" s="201"/>
      <c r="G111" s="202"/>
      <c r="H111" s="201"/>
      <c r="I111" s="201"/>
      <c r="J111" s="203">
        <f>+SUM(J112:J121)</f>
        <v>184392.76056999998</v>
      </c>
      <c r="L111" s="142"/>
    </row>
    <row r="112" spans="1:14" ht="15.75" thickBot="1" x14ac:dyDescent="0.3">
      <c r="D112" s="110" t="s">
        <v>238</v>
      </c>
      <c r="E112" s="143" t="s">
        <v>239</v>
      </c>
      <c r="F112" s="112">
        <v>0</v>
      </c>
      <c r="G112" s="113">
        <v>1000</v>
      </c>
      <c r="H112" s="114">
        <v>0</v>
      </c>
      <c r="I112" s="115">
        <v>0</v>
      </c>
      <c r="J112" s="298">
        <f t="shared" ref="J112:J121" si="7">+G112*H112*I112</f>
        <v>0</v>
      </c>
      <c r="K112" s="272" t="s">
        <v>240</v>
      </c>
      <c r="L112" s="142"/>
      <c r="M112" s="270"/>
      <c r="N112" s="271" t="s">
        <v>246</v>
      </c>
    </row>
    <row r="113" spans="1:14" ht="15.75" thickBot="1" x14ac:dyDescent="0.3">
      <c r="D113" s="282" t="s">
        <v>241</v>
      </c>
      <c r="E113" s="283" t="s">
        <v>242</v>
      </c>
      <c r="F113" s="284">
        <v>1</v>
      </c>
      <c r="G113" s="285">
        <v>8000</v>
      </c>
      <c r="H113" s="286">
        <v>1</v>
      </c>
      <c r="I113" s="287">
        <v>2</v>
      </c>
      <c r="J113" s="298">
        <f t="shared" si="7"/>
        <v>16000</v>
      </c>
      <c r="K113" s="273" t="s">
        <v>240</v>
      </c>
      <c r="L113" s="135"/>
      <c r="M113" s="270"/>
      <c r="N113" s="271" t="s">
        <v>475</v>
      </c>
    </row>
    <row r="114" spans="1:14" ht="15.75" thickBot="1" x14ac:dyDescent="0.3">
      <c r="D114" s="97" t="s">
        <v>243</v>
      </c>
      <c r="E114" s="139" t="s">
        <v>244</v>
      </c>
      <c r="F114" s="99">
        <v>0</v>
      </c>
      <c r="G114" s="100">
        <v>2000</v>
      </c>
      <c r="H114" s="101">
        <v>0</v>
      </c>
      <c r="I114" s="102">
        <v>0</v>
      </c>
      <c r="J114" s="298">
        <f t="shared" si="7"/>
        <v>0</v>
      </c>
      <c r="K114" s="273" t="s">
        <v>240</v>
      </c>
      <c r="L114" s="135"/>
      <c r="M114" s="270"/>
      <c r="N114" s="271" t="s">
        <v>474</v>
      </c>
    </row>
    <row r="115" spans="1:14" ht="15.75" thickBot="1" x14ac:dyDescent="0.3">
      <c r="D115" s="282" t="s">
        <v>245</v>
      </c>
      <c r="E115" s="283" t="s">
        <v>246</v>
      </c>
      <c r="F115" s="284">
        <v>1</v>
      </c>
      <c r="G115" s="285">
        <v>26800</v>
      </c>
      <c r="H115" s="286">
        <v>1</v>
      </c>
      <c r="I115" s="287">
        <v>1</v>
      </c>
      <c r="J115" s="298">
        <f t="shared" si="7"/>
        <v>26800</v>
      </c>
      <c r="K115" s="273" t="s">
        <v>247</v>
      </c>
      <c r="L115" s="135"/>
      <c r="M115" s="270"/>
      <c r="N115" s="271" t="s">
        <v>255</v>
      </c>
    </row>
    <row r="116" spans="1:14" ht="15.75" thickBot="1" x14ac:dyDescent="0.3">
      <c r="D116" s="97" t="s">
        <v>248</v>
      </c>
      <c r="E116" s="139" t="s">
        <v>249</v>
      </c>
      <c r="F116" s="99">
        <v>0</v>
      </c>
      <c r="G116" s="100">
        <v>700</v>
      </c>
      <c r="H116" s="101">
        <v>0</v>
      </c>
      <c r="I116" s="102">
        <v>0</v>
      </c>
      <c r="J116" s="298">
        <f t="shared" si="7"/>
        <v>0</v>
      </c>
      <c r="K116" s="273" t="s">
        <v>247</v>
      </c>
      <c r="L116" s="135"/>
      <c r="M116" s="270"/>
      <c r="N116" s="271" t="s">
        <v>476</v>
      </c>
    </row>
    <row r="117" spans="1:14" ht="15.75" thickBot="1" x14ac:dyDescent="0.3">
      <c r="D117" s="282" t="s">
        <v>250</v>
      </c>
      <c r="E117" s="283" t="s">
        <v>251</v>
      </c>
      <c r="F117" s="284">
        <v>1</v>
      </c>
      <c r="G117" s="285">
        <v>17400</v>
      </c>
      <c r="H117" s="286">
        <v>1</v>
      </c>
      <c r="I117" s="287">
        <v>1</v>
      </c>
      <c r="J117" s="298">
        <f t="shared" si="7"/>
        <v>17400</v>
      </c>
      <c r="K117" s="273" t="s">
        <v>247</v>
      </c>
      <c r="L117" s="135"/>
      <c r="M117" s="270"/>
      <c r="N117" s="271" t="s">
        <v>477</v>
      </c>
    </row>
    <row r="118" spans="1:14" ht="15.75" thickBot="1" x14ac:dyDescent="0.3">
      <c r="D118" s="97" t="s">
        <v>252</v>
      </c>
      <c r="E118" s="139" t="s">
        <v>253</v>
      </c>
      <c r="F118" s="99">
        <v>0</v>
      </c>
      <c r="G118" s="100">
        <v>670</v>
      </c>
      <c r="H118" s="101">
        <v>0</v>
      </c>
      <c r="I118" s="102">
        <v>0</v>
      </c>
      <c r="J118" s="298">
        <f t="shared" si="7"/>
        <v>0</v>
      </c>
      <c r="K118" s="273" t="s">
        <v>240</v>
      </c>
      <c r="L118" s="135"/>
      <c r="M118" s="270"/>
      <c r="N118" s="271" t="s">
        <v>473</v>
      </c>
    </row>
    <row r="119" spans="1:14" ht="15.75" thickBot="1" x14ac:dyDescent="0.3">
      <c r="D119" s="282" t="s">
        <v>254</v>
      </c>
      <c r="E119" s="283" t="s">
        <v>255</v>
      </c>
      <c r="F119" s="284">
        <v>1</v>
      </c>
      <c r="G119" s="285">
        <f>0.0983*(G13+G14+G18+G19+G35+G102*H102+G103/6)</f>
        <v>14032.126761666666</v>
      </c>
      <c r="H119" s="286">
        <v>1</v>
      </c>
      <c r="I119" s="287">
        <v>6</v>
      </c>
      <c r="J119" s="298">
        <f t="shared" si="7"/>
        <v>84192.760569999999</v>
      </c>
      <c r="K119" s="273" t="s">
        <v>66</v>
      </c>
      <c r="L119" s="135"/>
      <c r="M119" s="270"/>
      <c r="N119" s="271" t="s">
        <v>480</v>
      </c>
    </row>
    <row r="120" spans="1:14" ht="15.75" thickBot="1" x14ac:dyDescent="0.3">
      <c r="D120" s="97" t="s">
        <v>256</v>
      </c>
      <c r="E120" s="139" t="s">
        <v>257</v>
      </c>
      <c r="F120" s="144">
        <v>0</v>
      </c>
      <c r="G120" s="145">
        <v>1000</v>
      </c>
      <c r="H120" s="146">
        <v>0</v>
      </c>
      <c r="I120" s="147">
        <v>0</v>
      </c>
      <c r="J120" s="298">
        <f t="shared" si="7"/>
        <v>0</v>
      </c>
      <c r="K120" s="273"/>
      <c r="L120" s="135"/>
      <c r="M120" s="270"/>
      <c r="N120" s="271" t="s">
        <v>478</v>
      </c>
    </row>
    <row r="121" spans="1:14" ht="15.75" thickBot="1" x14ac:dyDescent="0.3">
      <c r="D121" s="263" t="s">
        <v>287</v>
      </c>
      <c r="E121" s="264" t="s">
        <v>258</v>
      </c>
      <c r="F121" s="288">
        <v>1</v>
      </c>
      <c r="G121" s="289">
        <v>20000</v>
      </c>
      <c r="H121" s="290">
        <v>1</v>
      </c>
      <c r="I121" s="291">
        <v>2</v>
      </c>
      <c r="J121" s="298">
        <f t="shared" si="7"/>
        <v>40000</v>
      </c>
      <c r="K121" s="274" t="s">
        <v>240</v>
      </c>
      <c r="L121" s="135"/>
    </row>
    <row r="122" spans="1:14" ht="15.75" thickBot="1" x14ac:dyDescent="0.3">
      <c r="D122" s="97"/>
      <c r="E122" s="136"/>
      <c r="F122" s="148"/>
      <c r="G122" s="141"/>
      <c r="H122" s="149"/>
      <c r="I122" s="125"/>
      <c r="J122" s="126"/>
      <c r="K122" s="4"/>
      <c r="L122" s="135"/>
    </row>
    <row r="123" spans="1:14" ht="15.75" thickBot="1" x14ac:dyDescent="0.3">
      <c r="A123" s="364">
        <f>+B123/$B$10</f>
        <v>0</v>
      </c>
      <c r="B123" s="96">
        <f>SUM(J124:J129)</f>
        <v>0</v>
      </c>
      <c r="D123" s="199">
        <v>9</v>
      </c>
      <c r="E123" s="200" t="s">
        <v>259</v>
      </c>
      <c r="F123" s="201"/>
      <c r="G123" s="202"/>
      <c r="H123" s="201"/>
      <c r="I123" s="201"/>
      <c r="J123" s="203">
        <f>+SUM(J124:J129)</f>
        <v>0</v>
      </c>
    </row>
    <row r="124" spans="1:14" ht="15.75" thickBot="1" x14ac:dyDescent="0.3">
      <c r="D124" s="110" t="s">
        <v>260</v>
      </c>
      <c r="E124" s="150" t="s">
        <v>237</v>
      </c>
      <c r="F124" s="112">
        <v>0</v>
      </c>
      <c r="G124" s="113">
        <v>1</v>
      </c>
      <c r="H124" s="114">
        <v>0</v>
      </c>
      <c r="I124" s="115">
        <v>0</v>
      </c>
      <c r="J124" s="116">
        <v>0</v>
      </c>
    </row>
    <row r="125" spans="1:14" ht="15.75" thickBot="1" x14ac:dyDescent="0.3">
      <c r="D125" s="97" t="s">
        <v>261</v>
      </c>
      <c r="E125" s="139" t="s">
        <v>262</v>
      </c>
      <c r="F125" s="99">
        <v>0</v>
      </c>
      <c r="G125" s="100">
        <v>1</v>
      </c>
      <c r="H125" s="101">
        <v>0</v>
      </c>
      <c r="I125" s="102">
        <v>0</v>
      </c>
      <c r="J125" s="298">
        <f t="shared" ref="J125:J129" si="8">+G125*H125*I125</f>
        <v>0</v>
      </c>
      <c r="K125" s="103"/>
      <c r="L125" s="163"/>
    </row>
    <row r="126" spans="1:14" ht="15.75" thickBot="1" x14ac:dyDescent="0.3">
      <c r="D126" s="97" t="s">
        <v>263</v>
      </c>
      <c r="E126" s="139" t="s">
        <v>264</v>
      </c>
      <c r="F126" s="99">
        <v>0</v>
      </c>
      <c r="G126" s="100">
        <v>5400</v>
      </c>
      <c r="H126" s="101">
        <v>0</v>
      </c>
      <c r="I126" s="102">
        <v>0</v>
      </c>
      <c r="J126" s="298">
        <f t="shared" si="8"/>
        <v>0</v>
      </c>
    </row>
    <row r="127" spans="1:14" ht="15.75" thickBot="1" x14ac:dyDescent="0.3">
      <c r="D127" s="97" t="s">
        <v>265</v>
      </c>
      <c r="E127" s="139" t="s">
        <v>266</v>
      </c>
      <c r="F127" s="99">
        <v>0</v>
      </c>
      <c r="G127" s="100">
        <v>1300</v>
      </c>
      <c r="H127" s="101">
        <v>0</v>
      </c>
      <c r="I127" s="102">
        <v>0</v>
      </c>
      <c r="J127" s="298">
        <f t="shared" si="8"/>
        <v>0</v>
      </c>
    </row>
    <row r="128" spans="1:14" ht="15.75" thickBot="1" x14ac:dyDescent="0.3">
      <c r="D128" s="97" t="s">
        <v>267</v>
      </c>
      <c r="E128" s="139" t="s">
        <v>268</v>
      </c>
      <c r="F128" s="99">
        <v>0</v>
      </c>
      <c r="G128" s="100">
        <v>500000</v>
      </c>
      <c r="H128" s="101">
        <v>0</v>
      </c>
      <c r="I128" s="102">
        <v>0</v>
      </c>
      <c r="J128" s="298">
        <f t="shared" si="8"/>
        <v>0</v>
      </c>
    </row>
    <row r="129" spans="4:10" ht="15.75" thickBot="1" x14ac:dyDescent="0.3">
      <c r="D129" s="131" t="s">
        <v>269</v>
      </c>
      <c r="E129" s="262" t="s">
        <v>270</v>
      </c>
      <c r="F129" s="119">
        <v>0</v>
      </c>
      <c r="G129" s="120">
        <v>73780</v>
      </c>
      <c r="H129" s="121">
        <v>0</v>
      </c>
      <c r="I129" s="122">
        <v>0</v>
      </c>
      <c r="J129" s="298">
        <f t="shared" si="8"/>
        <v>0</v>
      </c>
    </row>
    <row r="130" spans="4:10" ht="15.75" thickBot="1" x14ac:dyDescent="0.3">
      <c r="D130" s="151"/>
      <c r="E130" s="105"/>
      <c r="F130" s="123"/>
      <c r="G130" s="124"/>
      <c r="H130" s="123"/>
      <c r="I130" s="123"/>
      <c r="J130" s="152"/>
    </row>
    <row r="131" spans="4:10" ht="15.75" thickBot="1" x14ac:dyDescent="0.3">
      <c r="D131" s="41"/>
      <c r="E131" s="49" t="s">
        <v>295</v>
      </c>
      <c r="F131" s="49"/>
      <c r="G131" s="205"/>
      <c r="H131" s="49"/>
      <c r="I131" s="206"/>
      <c r="J131" s="204">
        <f>J123+J111+J101+J93+J76+J67+J37+J24+J12</f>
        <v>1124367.0245699999</v>
      </c>
    </row>
  </sheetData>
  <mergeCells count="3">
    <mergeCell ref="E1:G1"/>
    <mergeCell ref="E2:G2"/>
    <mergeCell ref="E3:G3"/>
  </mergeCells>
  <hyperlinks>
    <hyperlink ref="J12" r:id="rId1" display="+@suma(J13:J22)"/>
    <hyperlink ref="J24" r:id="rId2" display="+@suma(J13:J22)"/>
    <hyperlink ref="J37" r:id="rId3" display="+@suma(J13:J22)"/>
    <hyperlink ref="J67" r:id="rId4" display="+@suma(J13:J22)"/>
    <hyperlink ref="J76" r:id="rId5" display="+@suma(J13:J22)"/>
    <hyperlink ref="J93" r:id="rId6" display="+@suma(J13:J22)"/>
    <hyperlink ref="J101" r:id="rId7" display="+@suma(J13:J22)"/>
    <hyperlink ref="J111" r:id="rId8" display="+@suma(J13:J22)"/>
    <hyperlink ref="J123" r:id="rId9" display="+@suma(J13:J22)"/>
  </hyperlinks>
  <pageMargins left="0.7" right="0.7" top="0.75" bottom="0.75" header="0.3" footer="0.3"/>
  <pageSetup paperSize="8" scale="62" fitToHeight="0" orientation="portrait" r:id="rId10"/>
  <drawing r:id="rId11"/>
  <legacyDrawing r:id="rId1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O123"/>
  <sheetViews>
    <sheetView zoomScale="75" zoomScaleNormal="75" workbookViewId="0">
      <selection activeCell="H124" sqref="A1:H124"/>
    </sheetView>
  </sheetViews>
  <sheetFormatPr baseColWidth="10" defaultRowHeight="15" x14ac:dyDescent="0.25"/>
  <cols>
    <col min="1" max="1" width="4.5703125" style="15" customWidth="1"/>
    <col min="2" max="2" width="9.42578125" style="36" customWidth="1"/>
    <col min="3" max="3" width="69.7109375" style="37" customWidth="1"/>
    <col min="4" max="4" width="10.140625" style="36" customWidth="1"/>
    <col min="5" max="5" width="10.5703125" customWidth="1"/>
    <col min="6" max="6" width="15.28515625" style="38" customWidth="1"/>
    <col min="7" max="7" width="17.7109375" style="40" customWidth="1"/>
    <col min="8" max="8" width="22.42578125" customWidth="1"/>
    <col min="9" max="9" width="2.5703125" style="165" customWidth="1"/>
    <col min="10" max="10" width="41.5703125" style="358" customWidth="1"/>
    <col min="11" max="11" width="87.42578125" style="358" customWidth="1"/>
    <col min="12" max="12" width="20.7109375" style="358" customWidth="1"/>
    <col min="13" max="41" width="11.42578125" style="15"/>
  </cols>
  <sheetData>
    <row r="1" spans="2:12" s="15" customFormat="1" ht="56.25" customHeight="1" x14ac:dyDescent="0.3">
      <c r="B1" s="174"/>
      <c r="C1" s="403" t="s">
        <v>481</v>
      </c>
      <c r="D1" s="403"/>
      <c r="E1" s="403"/>
      <c r="F1" s="9"/>
      <c r="G1" s="11"/>
      <c r="H1" s="12"/>
      <c r="I1" s="165"/>
    </row>
    <row r="2" spans="2:12" ht="31.5" customHeight="1" x14ac:dyDescent="0.3">
      <c r="B2" s="13"/>
      <c r="C2" s="404" t="s">
        <v>482</v>
      </c>
      <c r="D2" s="404"/>
      <c r="E2" s="404"/>
      <c r="F2" s="1"/>
      <c r="G2" s="3"/>
      <c r="H2" s="14"/>
      <c r="I2" s="166"/>
      <c r="J2" s="15"/>
      <c r="K2" s="15"/>
      <c r="L2" s="15"/>
    </row>
    <row r="3" spans="2:12" ht="18.75" x14ac:dyDescent="0.3">
      <c r="B3" s="13"/>
      <c r="C3" s="404" t="s">
        <v>483</v>
      </c>
      <c r="D3" s="404"/>
      <c r="E3" s="404"/>
      <c r="F3" s="1"/>
      <c r="G3" s="3"/>
      <c r="H3" s="14"/>
      <c r="I3" s="166"/>
      <c r="J3" s="15"/>
      <c r="K3" s="15"/>
      <c r="L3" s="15"/>
    </row>
    <row r="4" spans="2:12" ht="18.75" thickBot="1" x14ac:dyDescent="0.3">
      <c r="B4" s="175"/>
      <c r="C4" s="176"/>
      <c r="D4" s="301"/>
      <c r="E4" s="176"/>
      <c r="F4" s="176"/>
      <c r="G4" s="176"/>
      <c r="H4" s="178"/>
      <c r="I4" s="166"/>
      <c r="J4" s="15"/>
      <c r="K4" s="15"/>
      <c r="L4" s="15"/>
    </row>
    <row r="5" spans="2:12" x14ac:dyDescent="0.25">
      <c r="B5" s="427" t="s">
        <v>8</v>
      </c>
      <c r="C5" s="419" t="s">
        <v>47</v>
      </c>
      <c r="D5" s="421" t="s">
        <v>46</v>
      </c>
      <c r="E5" s="419" t="s">
        <v>0</v>
      </c>
      <c r="F5" s="423" t="s">
        <v>1</v>
      </c>
      <c r="G5" s="412" t="s">
        <v>2</v>
      </c>
      <c r="H5" s="414" t="s">
        <v>6</v>
      </c>
      <c r="I5" s="166"/>
      <c r="J5" s="15"/>
      <c r="K5" s="15"/>
      <c r="L5" s="15"/>
    </row>
    <row r="6" spans="2:12" ht="15.75" thickBot="1" x14ac:dyDescent="0.3">
      <c r="B6" s="428"/>
      <c r="C6" s="420"/>
      <c r="D6" s="422"/>
      <c r="E6" s="420"/>
      <c r="F6" s="424"/>
      <c r="G6" s="413"/>
      <c r="H6" s="415"/>
      <c r="I6" s="167"/>
      <c r="J6" s="15"/>
      <c r="K6" s="15"/>
      <c r="L6" s="15"/>
    </row>
    <row r="7" spans="2:12" ht="15.75" thickBot="1" x14ac:dyDescent="0.3">
      <c r="B7" s="54" t="s">
        <v>469</v>
      </c>
      <c r="C7" s="398" t="s">
        <v>537</v>
      </c>
      <c r="D7" s="398"/>
      <c r="E7" s="398"/>
      <c r="F7" s="398"/>
      <c r="G7" s="399"/>
      <c r="H7" s="16">
        <f>+G8+G9+G10</f>
        <v>0</v>
      </c>
      <c r="I7" s="168"/>
      <c r="J7" s="15"/>
      <c r="K7" s="15"/>
      <c r="L7" s="15"/>
    </row>
    <row r="8" spans="2:12" ht="18.75" customHeight="1" x14ac:dyDescent="0.25">
      <c r="B8" s="179" t="s">
        <v>298</v>
      </c>
      <c r="C8" s="159" t="s">
        <v>360</v>
      </c>
      <c r="D8" s="302" t="s">
        <v>45</v>
      </c>
      <c r="E8" s="28">
        <v>15</v>
      </c>
      <c r="F8" s="29">
        <v>0</v>
      </c>
      <c r="G8" s="20">
        <v>0</v>
      </c>
      <c r="H8" s="180"/>
      <c r="I8" s="171"/>
      <c r="J8" s="15"/>
      <c r="K8" s="15"/>
      <c r="L8" s="15"/>
    </row>
    <row r="9" spans="2:12" ht="23.25" customHeight="1" x14ac:dyDescent="0.25">
      <c r="B9" s="179" t="s">
        <v>299</v>
      </c>
      <c r="C9" s="217" t="s">
        <v>9</v>
      </c>
      <c r="D9" s="303" t="s">
        <v>4</v>
      </c>
      <c r="E9" s="17">
        <v>1</v>
      </c>
      <c r="F9" s="18">
        <v>0</v>
      </c>
      <c r="G9" s="20">
        <v>0</v>
      </c>
      <c r="H9" s="180"/>
      <c r="I9" s="169"/>
      <c r="J9" s="15"/>
      <c r="K9" s="15"/>
      <c r="L9" s="15"/>
    </row>
    <row r="10" spans="2:12" ht="33" customHeight="1" thickBot="1" x14ac:dyDescent="0.3">
      <c r="B10" s="179" t="s">
        <v>300</v>
      </c>
      <c r="C10" s="209" t="s">
        <v>297</v>
      </c>
      <c r="D10" s="304" t="s">
        <v>4</v>
      </c>
      <c r="E10" s="24">
        <v>1</v>
      </c>
      <c r="F10" s="25">
        <v>0</v>
      </c>
      <c r="G10" s="20">
        <v>0</v>
      </c>
      <c r="H10" s="180"/>
      <c r="I10" s="169"/>
      <c r="J10" s="15"/>
      <c r="K10" s="15"/>
      <c r="L10" s="15"/>
    </row>
    <row r="11" spans="2:12" ht="15.75" thickBot="1" x14ac:dyDescent="0.3">
      <c r="B11" s="54" t="s">
        <v>301</v>
      </c>
      <c r="C11" s="398" t="s">
        <v>581</v>
      </c>
      <c r="D11" s="398"/>
      <c r="E11" s="398"/>
      <c r="F11" s="398"/>
      <c r="G11" s="399"/>
      <c r="H11" s="16">
        <f>SUM(G12:G12)</f>
        <v>0</v>
      </c>
      <c r="I11" s="171"/>
      <c r="J11" s="15"/>
      <c r="K11" s="15"/>
      <c r="L11" s="15"/>
    </row>
    <row r="12" spans="2:12" ht="15.75" thickBot="1" x14ac:dyDescent="0.3">
      <c r="B12" s="179" t="s">
        <v>302</v>
      </c>
      <c r="C12" s="157" t="s">
        <v>361</v>
      </c>
      <c r="D12" s="305" t="s">
        <v>45</v>
      </c>
      <c r="E12" s="226">
        <v>30</v>
      </c>
      <c r="F12" s="27">
        <v>0</v>
      </c>
      <c r="G12" s="20">
        <v>0</v>
      </c>
      <c r="H12" s="182"/>
      <c r="I12" s="168"/>
      <c r="J12" s="15"/>
      <c r="K12" s="15"/>
      <c r="L12" s="15"/>
    </row>
    <row r="13" spans="2:12" ht="15.75" thickBot="1" x14ac:dyDescent="0.3">
      <c r="B13" s="54" t="s">
        <v>315</v>
      </c>
      <c r="C13" s="398" t="s">
        <v>538</v>
      </c>
      <c r="D13" s="398"/>
      <c r="E13" s="398"/>
      <c r="F13" s="398"/>
      <c r="G13" s="399"/>
      <c r="H13" s="16">
        <f>SUM(G15:G22)</f>
        <v>0</v>
      </c>
      <c r="I13" s="170"/>
      <c r="J13" s="15"/>
      <c r="K13" s="15"/>
      <c r="L13" s="15"/>
    </row>
    <row r="14" spans="2:12" ht="15.75" thickBot="1" x14ac:dyDescent="0.3">
      <c r="B14" s="54" t="s">
        <v>316</v>
      </c>
      <c r="C14" s="357" t="s">
        <v>572</v>
      </c>
      <c r="D14" s="357"/>
      <c r="E14" s="357"/>
      <c r="F14" s="357"/>
      <c r="G14" s="357"/>
      <c r="H14" s="354"/>
      <c r="I14" s="170"/>
      <c r="J14" s="15"/>
      <c r="K14" s="15"/>
      <c r="L14" s="15"/>
    </row>
    <row r="15" spans="2:12" ht="29.25" customHeight="1" x14ac:dyDescent="0.25">
      <c r="B15" s="179" t="s">
        <v>504</v>
      </c>
      <c r="C15" s="217" t="s">
        <v>424</v>
      </c>
      <c r="D15" s="303" t="s">
        <v>45</v>
      </c>
      <c r="E15" s="17">
        <v>10</v>
      </c>
      <c r="F15" s="314">
        <v>0</v>
      </c>
      <c r="G15" s="20">
        <v>0</v>
      </c>
      <c r="H15" s="184"/>
      <c r="I15" s="170"/>
      <c r="J15" s="15"/>
      <c r="K15" s="15"/>
      <c r="L15" s="15"/>
    </row>
    <row r="16" spans="2:12" ht="30.75" customHeight="1" x14ac:dyDescent="0.25">
      <c r="B16" s="183" t="s">
        <v>505</v>
      </c>
      <c r="C16" s="157" t="s">
        <v>272</v>
      </c>
      <c r="D16" s="302" t="s">
        <v>45</v>
      </c>
      <c r="E16" s="17">
        <v>6</v>
      </c>
      <c r="F16" s="29">
        <v>0</v>
      </c>
      <c r="G16" s="20">
        <v>0</v>
      </c>
      <c r="H16" s="180"/>
      <c r="I16" s="170"/>
      <c r="J16" s="15"/>
      <c r="K16" s="15"/>
      <c r="L16" s="15"/>
    </row>
    <row r="17" spans="2:12" ht="30.75" customHeight="1" x14ac:dyDescent="0.25">
      <c r="B17" s="183" t="s">
        <v>506</v>
      </c>
      <c r="C17" s="157" t="s">
        <v>273</v>
      </c>
      <c r="D17" s="302" t="s">
        <v>45</v>
      </c>
      <c r="E17" s="17">
        <v>6</v>
      </c>
      <c r="F17" s="29">
        <v>0</v>
      </c>
      <c r="G17" s="20">
        <v>0</v>
      </c>
      <c r="H17" s="180"/>
      <c r="I17" s="170"/>
      <c r="J17" s="15"/>
      <c r="K17" s="15"/>
      <c r="L17" s="15"/>
    </row>
    <row r="18" spans="2:12" ht="18" customHeight="1" x14ac:dyDescent="0.25">
      <c r="B18" s="183" t="s">
        <v>507</v>
      </c>
      <c r="C18" s="157" t="s">
        <v>274</v>
      </c>
      <c r="D18" s="302" t="s">
        <v>45</v>
      </c>
      <c r="E18" s="17">
        <v>8</v>
      </c>
      <c r="F18" s="29">
        <v>0</v>
      </c>
      <c r="G18" s="20">
        <v>0</v>
      </c>
      <c r="H18" s="180"/>
      <c r="I18" s="170"/>
      <c r="J18" s="15"/>
      <c r="K18" s="15"/>
      <c r="L18" s="15"/>
    </row>
    <row r="19" spans="2:12" ht="30.75" customHeight="1" x14ac:dyDescent="0.25">
      <c r="B19" s="183" t="s">
        <v>508</v>
      </c>
      <c r="C19" s="157" t="s">
        <v>275</v>
      </c>
      <c r="D19" s="302" t="s">
        <v>45</v>
      </c>
      <c r="E19" s="17">
        <v>11.5</v>
      </c>
      <c r="F19" s="29">
        <v>0</v>
      </c>
      <c r="G19" s="20">
        <v>0</v>
      </c>
      <c r="H19" s="180"/>
      <c r="I19" s="170"/>
      <c r="J19" s="15"/>
      <c r="K19" s="15"/>
      <c r="L19" s="15"/>
    </row>
    <row r="20" spans="2:12" ht="24.75" customHeight="1" x14ac:dyDescent="0.25">
      <c r="B20" s="183" t="s">
        <v>510</v>
      </c>
      <c r="C20" s="157" t="s">
        <v>489</v>
      </c>
      <c r="D20" s="302" t="s">
        <v>45</v>
      </c>
      <c r="E20" s="17">
        <v>1.2</v>
      </c>
      <c r="F20" s="29">
        <v>0</v>
      </c>
      <c r="G20" s="20">
        <v>0</v>
      </c>
      <c r="H20" s="208"/>
      <c r="I20" s="170"/>
      <c r="J20" s="15"/>
      <c r="K20" s="15"/>
      <c r="L20" s="15"/>
    </row>
    <row r="21" spans="2:12" ht="24.75" customHeight="1" x14ac:dyDescent="0.25">
      <c r="B21" s="183" t="s">
        <v>511</v>
      </c>
      <c r="C21" s="157" t="s">
        <v>365</v>
      </c>
      <c r="D21" s="302" t="s">
        <v>490</v>
      </c>
      <c r="E21" s="17">
        <v>22</v>
      </c>
      <c r="F21" s="29">
        <v>0</v>
      </c>
      <c r="G21" s="20">
        <v>0</v>
      </c>
      <c r="H21" s="208"/>
      <c r="I21" s="170"/>
      <c r="J21" s="15"/>
      <c r="K21" s="15"/>
      <c r="L21" s="15"/>
    </row>
    <row r="22" spans="2:12" ht="28.5" customHeight="1" thickBot="1" x14ac:dyDescent="0.3">
      <c r="B22" s="183" t="s">
        <v>509</v>
      </c>
      <c r="C22" s="157" t="s">
        <v>364</v>
      </c>
      <c r="D22" s="302" t="s">
        <v>45</v>
      </c>
      <c r="E22" s="17">
        <v>14</v>
      </c>
      <c r="F22" s="29">
        <v>0</v>
      </c>
      <c r="G22" s="20">
        <v>0</v>
      </c>
      <c r="H22" s="208"/>
      <c r="I22" s="170"/>
      <c r="J22" s="15"/>
      <c r="K22" s="15"/>
      <c r="L22" s="15"/>
    </row>
    <row r="23" spans="2:12" ht="15.75" thickBot="1" x14ac:dyDescent="0.3">
      <c r="B23" s="54" t="s">
        <v>304</v>
      </c>
      <c r="C23" s="398" t="s">
        <v>303</v>
      </c>
      <c r="D23" s="398"/>
      <c r="E23" s="398"/>
      <c r="F23" s="398"/>
      <c r="G23" s="399"/>
      <c r="H23" s="16">
        <f>SUM(G24:G26)</f>
        <v>0</v>
      </c>
      <c r="I23" s="171"/>
      <c r="J23" s="15"/>
      <c r="K23" s="15"/>
      <c r="L23" s="15"/>
    </row>
    <row r="24" spans="2:12" x14ac:dyDescent="0.25">
      <c r="B24" s="179" t="s">
        <v>305</v>
      </c>
      <c r="C24" s="157" t="s">
        <v>491</v>
      </c>
      <c r="D24" s="302" t="s">
        <v>11</v>
      </c>
      <c r="E24" s="17">
        <v>285</v>
      </c>
      <c r="F24" s="30">
        <v>0</v>
      </c>
      <c r="G24" s="20">
        <v>0</v>
      </c>
      <c r="H24" s="180"/>
      <c r="I24" s="171"/>
      <c r="J24" s="15"/>
      <c r="K24" s="15"/>
      <c r="L24" s="15"/>
    </row>
    <row r="25" spans="2:12" x14ac:dyDescent="0.25">
      <c r="B25" s="179" t="s">
        <v>306</v>
      </c>
      <c r="C25" s="157" t="s">
        <v>374</v>
      </c>
      <c r="D25" s="302" t="s">
        <v>11</v>
      </c>
      <c r="E25" s="17">
        <v>120</v>
      </c>
      <c r="F25" s="30">
        <v>0</v>
      </c>
      <c r="G25" s="20">
        <v>0</v>
      </c>
      <c r="H25" s="180"/>
      <c r="I25" s="171"/>
      <c r="J25" s="15"/>
      <c r="K25" s="15"/>
      <c r="L25" s="15"/>
    </row>
    <row r="26" spans="2:12" ht="15.75" thickBot="1" x14ac:dyDescent="0.3">
      <c r="B26" s="179" t="s">
        <v>419</v>
      </c>
      <c r="C26" s="325" t="s">
        <v>307</v>
      </c>
      <c r="D26" s="302" t="s">
        <v>11</v>
      </c>
      <c r="E26" s="17">
        <v>30</v>
      </c>
      <c r="F26" s="30">
        <v>0</v>
      </c>
      <c r="G26" s="20">
        <v>0</v>
      </c>
      <c r="H26" s="180"/>
      <c r="I26" s="171"/>
      <c r="J26" s="15"/>
      <c r="K26" s="15"/>
      <c r="L26" s="15"/>
    </row>
    <row r="27" spans="2:12" ht="15.75" thickBot="1" x14ac:dyDescent="0.3">
      <c r="B27" s="54" t="s">
        <v>308</v>
      </c>
      <c r="C27" s="398" t="s">
        <v>362</v>
      </c>
      <c r="D27" s="398"/>
      <c r="E27" s="398"/>
      <c r="F27" s="398"/>
      <c r="G27" s="399"/>
      <c r="H27" s="16">
        <f>SUM(G28:G29)</f>
        <v>0</v>
      </c>
      <c r="I27" s="171"/>
      <c r="J27" s="15"/>
      <c r="K27" s="15"/>
      <c r="L27" s="15"/>
    </row>
    <row r="28" spans="2:12" x14ac:dyDescent="0.25">
      <c r="B28" s="179" t="s">
        <v>309</v>
      </c>
      <c r="C28" s="157" t="s">
        <v>314</v>
      </c>
      <c r="D28" s="302" t="s">
        <v>11</v>
      </c>
      <c r="E28" s="28">
        <v>50</v>
      </c>
      <c r="F28" s="30">
        <v>0</v>
      </c>
      <c r="G28" s="20">
        <v>0</v>
      </c>
      <c r="H28" s="180"/>
      <c r="I28" s="171"/>
      <c r="J28" s="15"/>
      <c r="K28" s="15"/>
      <c r="L28" s="15"/>
    </row>
    <row r="29" spans="2:12" ht="30.75" customHeight="1" thickBot="1" x14ac:dyDescent="0.3">
      <c r="B29" s="179" t="s">
        <v>503</v>
      </c>
      <c r="C29" s="157" t="s">
        <v>425</v>
      </c>
      <c r="D29" s="306" t="s">
        <v>11</v>
      </c>
      <c r="E29" s="28">
        <v>100</v>
      </c>
      <c r="F29" s="30">
        <v>0</v>
      </c>
      <c r="G29" s="20">
        <v>0</v>
      </c>
      <c r="H29" s="208"/>
      <c r="I29" s="171"/>
      <c r="J29" s="15"/>
      <c r="K29" s="15"/>
      <c r="L29" s="15"/>
    </row>
    <row r="30" spans="2:12" ht="15.75" thickBot="1" x14ac:dyDescent="0.3">
      <c r="B30" s="54" t="s">
        <v>310</v>
      </c>
      <c r="C30" s="398" t="s">
        <v>35</v>
      </c>
      <c r="D30" s="398"/>
      <c r="E30" s="398"/>
      <c r="F30" s="398"/>
      <c r="G30" s="399"/>
      <c r="H30" s="16">
        <f>SUM(G31:G32)</f>
        <v>0</v>
      </c>
      <c r="I30" s="171"/>
      <c r="J30" s="15"/>
      <c r="K30" s="15"/>
      <c r="L30" s="15"/>
    </row>
    <row r="31" spans="2:12" x14ac:dyDescent="0.25">
      <c r="B31" s="233" t="s">
        <v>311</v>
      </c>
      <c r="C31" s="156" t="s">
        <v>467</v>
      </c>
      <c r="D31" s="307" t="s">
        <v>11</v>
      </c>
      <c r="E31" s="28">
        <v>90</v>
      </c>
      <c r="F31" s="227">
        <v>0</v>
      </c>
      <c r="G31" s="236">
        <v>0</v>
      </c>
      <c r="H31" s="237"/>
      <c r="I31" s="171"/>
      <c r="J31" s="15"/>
      <c r="K31" s="15"/>
      <c r="L31" s="15"/>
    </row>
    <row r="32" spans="2:12" ht="15.75" thickBot="1" x14ac:dyDescent="0.3">
      <c r="B32" s="238" t="s">
        <v>312</v>
      </c>
      <c r="C32" s="157" t="s">
        <v>313</v>
      </c>
      <c r="D32" s="302" t="s">
        <v>15</v>
      </c>
      <c r="E32" s="28">
        <v>1</v>
      </c>
      <c r="F32" s="221">
        <v>0</v>
      </c>
      <c r="G32" s="240">
        <v>0</v>
      </c>
      <c r="H32" s="180"/>
      <c r="I32" s="171"/>
      <c r="J32" s="15"/>
      <c r="K32" s="15"/>
      <c r="L32" s="15"/>
    </row>
    <row r="33" spans="1:41" ht="15.75" thickBot="1" x14ac:dyDescent="0.3">
      <c r="B33" s="54" t="s">
        <v>279</v>
      </c>
      <c r="C33" s="398" t="s">
        <v>324</v>
      </c>
      <c r="D33" s="398"/>
      <c r="E33" s="398"/>
      <c r="F33" s="398"/>
      <c r="G33" s="399"/>
      <c r="H33" s="16">
        <f>SUM(G34:G34)</f>
        <v>0</v>
      </c>
      <c r="I33" s="171"/>
      <c r="J33" s="15"/>
      <c r="K33" s="15"/>
      <c r="L33" s="15"/>
    </row>
    <row r="34" spans="1:41" ht="15.75" thickBot="1" x14ac:dyDescent="0.3">
      <c r="B34" s="179" t="s">
        <v>276</v>
      </c>
      <c r="C34" s="156" t="s">
        <v>355</v>
      </c>
      <c r="D34" s="303" t="s">
        <v>45</v>
      </c>
      <c r="E34" s="17">
        <f>10*0.3*0.6</f>
        <v>1.7999999999999998</v>
      </c>
      <c r="F34" s="210">
        <v>0</v>
      </c>
      <c r="G34" s="20">
        <v>0</v>
      </c>
      <c r="H34" s="184"/>
      <c r="I34" s="171"/>
      <c r="J34" s="15"/>
      <c r="K34" s="15"/>
      <c r="L34" s="15"/>
    </row>
    <row r="35" spans="1:41" ht="15.75" thickBot="1" x14ac:dyDescent="0.3">
      <c r="B35" s="54" t="s">
        <v>319</v>
      </c>
      <c r="C35" s="398" t="s">
        <v>321</v>
      </c>
      <c r="D35" s="398"/>
      <c r="E35" s="398"/>
      <c r="F35" s="398"/>
      <c r="G35" s="399"/>
      <c r="H35" s="16">
        <f>SUM(G36:G38)</f>
        <v>0</v>
      </c>
      <c r="I35" s="171"/>
      <c r="J35" s="15"/>
      <c r="K35" s="15"/>
      <c r="L35" s="15"/>
    </row>
    <row r="36" spans="1:41" x14ac:dyDescent="0.25">
      <c r="B36" s="233" t="s">
        <v>320</v>
      </c>
      <c r="C36" s="156" t="s">
        <v>493</v>
      </c>
      <c r="D36" s="307" t="s">
        <v>11</v>
      </c>
      <c r="E36" s="234">
        <v>260</v>
      </c>
      <c r="F36" s="227">
        <v>0</v>
      </c>
      <c r="G36" s="236">
        <v>0</v>
      </c>
      <c r="H36" s="237"/>
      <c r="I36" s="171"/>
      <c r="J36" s="15"/>
      <c r="K36" s="15"/>
      <c r="L36" s="15"/>
    </row>
    <row r="37" spans="1:41" x14ac:dyDescent="0.25">
      <c r="B37" s="238" t="s">
        <v>322</v>
      </c>
      <c r="C37" s="157" t="s">
        <v>494</v>
      </c>
      <c r="D37" s="302" t="s">
        <v>11</v>
      </c>
      <c r="E37" s="28">
        <v>502</v>
      </c>
      <c r="F37" s="221">
        <v>0</v>
      </c>
      <c r="G37" s="240">
        <v>0</v>
      </c>
      <c r="H37" s="180"/>
      <c r="I37" s="171"/>
      <c r="J37" s="15"/>
      <c r="K37" s="15"/>
      <c r="L37" s="15"/>
    </row>
    <row r="38" spans="1:41" ht="15.75" thickBot="1" x14ac:dyDescent="0.3">
      <c r="B38" s="241" t="s">
        <v>420</v>
      </c>
      <c r="C38" s="242" t="s">
        <v>495</v>
      </c>
      <c r="D38" s="308" t="s">
        <v>11</v>
      </c>
      <c r="E38" s="188">
        <v>470</v>
      </c>
      <c r="F38" s="243">
        <v>0</v>
      </c>
      <c r="G38" s="245">
        <v>0</v>
      </c>
      <c r="H38" s="189"/>
      <c r="I38" s="171"/>
      <c r="J38" s="15"/>
      <c r="K38" s="15"/>
      <c r="L38" s="15"/>
    </row>
    <row r="39" spans="1:41" ht="15.75" thickBot="1" x14ac:dyDescent="0.3">
      <c r="B39" s="54" t="s">
        <v>323</v>
      </c>
      <c r="C39" s="398" t="s">
        <v>470</v>
      </c>
      <c r="D39" s="398"/>
      <c r="E39" s="398"/>
      <c r="F39" s="398"/>
      <c r="G39" s="399"/>
      <c r="H39" s="16">
        <f>SUM(G41)+G43</f>
        <v>0</v>
      </c>
      <c r="I39" s="171"/>
      <c r="J39" s="15"/>
      <c r="K39" s="15"/>
      <c r="L39" s="15"/>
    </row>
    <row r="40" spans="1:41" ht="15.75" thickBot="1" x14ac:dyDescent="0.3">
      <c r="B40" s="54"/>
      <c r="C40" s="357" t="s">
        <v>479</v>
      </c>
      <c r="D40" s="310"/>
      <c r="E40" s="330"/>
      <c r="F40" s="8"/>
      <c r="G40" s="353"/>
      <c r="H40" s="354"/>
      <c r="I40" s="171"/>
      <c r="J40" s="15"/>
      <c r="K40" s="15"/>
      <c r="L40" s="15"/>
    </row>
    <row r="41" spans="1:41" ht="15.75" thickBot="1" x14ac:dyDescent="0.3">
      <c r="B41" s="265" t="s">
        <v>325</v>
      </c>
      <c r="C41" s="35" t="s">
        <v>363</v>
      </c>
      <c r="D41" s="309" t="s">
        <v>11</v>
      </c>
      <c r="E41" s="234">
        <v>120</v>
      </c>
      <c r="F41" s="266">
        <v>0</v>
      </c>
      <c r="G41" s="268">
        <v>0</v>
      </c>
      <c r="H41" s="208"/>
      <c r="I41" s="171"/>
      <c r="J41" s="15"/>
      <c r="K41" s="15"/>
      <c r="L41" s="15"/>
    </row>
    <row r="42" spans="1:41" ht="15.75" thickBot="1" x14ac:dyDescent="0.3">
      <c r="B42" s="54"/>
      <c r="C42" s="357" t="s">
        <v>326</v>
      </c>
      <c r="D42" s="310"/>
      <c r="E42" s="330"/>
      <c r="F42" s="8"/>
      <c r="G42" s="353"/>
      <c r="H42" s="354"/>
      <c r="I42" s="171"/>
      <c r="J42" s="15"/>
      <c r="K42" s="15"/>
      <c r="L42" s="15"/>
    </row>
    <row r="43" spans="1:41" ht="24" customHeight="1" thickBot="1" x14ac:dyDescent="0.3">
      <c r="B43" s="179" t="s">
        <v>325</v>
      </c>
      <c r="C43" s="217" t="s">
        <v>329</v>
      </c>
      <c r="D43" s="303" t="s">
        <v>11</v>
      </c>
      <c r="E43" s="17">
        <f>4.65*3.3</f>
        <v>15.345000000000001</v>
      </c>
      <c r="F43" s="34">
        <v>0</v>
      </c>
      <c r="G43" s="20">
        <v>0</v>
      </c>
      <c r="H43" s="184"/>
      <c r="I43" s="171"/>
      <c r="J43" s="15"/>
      <c r="K43" s="15"/>
      <c r="L43" s="15"/>
    </row>
    <row r="44" spans="1:41" ht="15.75" thickBot="1" x14ac:dyDescent="0.3">
      <c r="B44" s="54" t="s">
        <v>327</v>
      </c>
      <c r="C44" s="398" t="s">
        <v>366</v>
      </c>
      <c r="D44" s="398"/>
      <c r="E44" s="398"/>
      <c r="F44" s="398"/>
      <c r="G44" s="399"/>
      <c r="H44" s="16">
        <f>SUM(G45:G46)</f>
        <v>0</v>
      </c>
      <c r="I44" s="171"/>
      <c r="J44" s="15"/>
      <c r="K44" s="15"/>
      <c r="L44" s="15"/>
    </row>
    <row r="45" spans="1:41" ht="25.5" x14ac:dyDescent="0.25">
      <c r="B45" s="179" t="s">
        <v>328</v>
      </c>
      <c r="C45" s="157" t="s">
        <v>376</v>
      </c>
      <c r="D45" s="303" t="s">
        <v>11</v>
      </c>
      <c r="E45" s="17">
        <v>40</v>
      </c>
      <c r="F45" s="34">
        <v>0</v>
      </c>
      <c r="G45" s="20">
        <v>0</v>
      </c>
      <c r="H45" s="184"/>
      <c r="I45" s="171"/>
      <c r="J45" s="15"/>
      <c r="K45" s="15"/>
      <c r="L45" s="15"/>
    </row>
    <row r="46" spans="1:41" s="212" customFormat="1" ht="15.75" thickBot="1" x14ac:dyDescent="0.3">
      <c r="A46" s="15"/>
      <c r="B46" s="179" t="s">
        <v>513</v>
      </c>
      <c r="C46" s="157" t="s">
        <v>499</v>
      </c>
      <c r="D46" s="303" t="s">
        <v>11</v>
      </c>
      <c r="E46" s="17">
        <v>5</v>
      </c>
      <c r="F46" s="34">
        <v>0</v>
      </c>
      <c r="G46" s="20">
        <v>0</v>
      </c>
      <c r="H46" s="216"/>
      <c r="I46" s="171"/>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row>
    <row r="47" spans="1:41" ht="15.75" thickBot="1" x14ac:dyDescent="0.3">
      <c r="B47" s="54" t="s">
        <v>330</v>
      </c>
      <c r="C47" s="398" t="s">
        <v>332</v>
      </c>
      <c r="D47" s="398"/>
      <c r="E47" s="398"/>
      <c r="F47" s="398"/>
      <c r="G47" s="399"/>
      <c r="H47" s="16">
        <f>SUM(G48:G49)</f>
        <v>0</v>
      </c>
      <c r="I47" s="171"/>
      <c r="J47" s="15"/>
      <c r="K47" s="15"/>
      <c r="L47" s="15"/>
    </row>
    <row r="48" spans="1:41" x14ac:dyDescent="0.25">
      <c r="B48" s="179" t="s">
        <v>427</v>
      </c>
      <c r="C48" s="156" t="s">
        <v>337</v>
      </c>
      <c r="D48" s="303" t="s">
        <v>11</v>
      </c>
      <c r="E48" s="17">
        <v>31</v>
      </c>
      <c r="F48" s="34">
        <v>0</v>
      </c>
      <c r="G48" s="20">
        <v>0</v>
      </c>
      <c r="H48" s="184"/>
      <c r="I48" s="171"/>
      <c r="J48" s="15"/>
      <c r="K48" s="15"/>
      <c r="L48" s="15"/>
    </row>
    <row r="49" spans="1:41" ht="26.25" thickBot="1" x14ac:dyDescent="0.3">
      <c r="B49" s="179" t="s">
        <v>514</v>
      </c>
      <c r="C49" s="157" t="s">
        <v>339</v>
      </c>
      <c r="D49" s="303" t="s">
        <v>14</v>
      </c>
      <c r="E49" s="17">
        <v>180</v>
      </c>
      <c r="F49" s="34">
        <v>0</v>
      </c>
      <c r="G49" s="20">
        <v>0</v>
      </c>
      <c r="H49" s="184"/>
      <c r="I49" s="171"/>
      <c r="J49" s="15"/>
      <c r="K49" s="15"/>
      <c r="L49" s="15"/>
    </row>
    <row r="50" spans="1:41" ht="15.75" thickBot="1" x14ac:dyDescent="0.3">
      <c r="B50" s="54" t="s">
        <v>331</v>
      </c>
      <c r="C50" s="398" t="s">
        <v>333</v>
      </c>
      <c r="D50" s="398"/>
      <c r="E50" s="398"/>
      <c r="F50" s="398"/>
      <c r="G50" s="399"/>
      <c r="H50" s="16">
        <f>SUM(G51)</f>
        <v>0</v>
      </c>
      <c r="I50" s="171"/>
      <c r="J50" s="15"/>
      <c r="K50" s="15"/>
      <c r="L50" s="15"/>
    </row>
    <row r="51" spans="1:41" ht="15.75" thickBot="1" x14ac:dyDescent="0.3">
      <c r="B51" s="179" t="s">
        <v>338</v>
      </c>
      <c r="C51" s="157" t="s">
        <v>334</v>
      </c>
      <c r="D51" s="303" t="s">
        <v>12</v>
      </c>
      <c r="E51" s="17">
        <v>23</v>
      </c>
      <c r="F51" s="34">
        <v>0</v>
      </c>
      <c r="G51" s="20">
        <v>0</v>
      </c>
      <c r="H51" s="184"/>
      <c r="I51" s="168"/>
      <c r="J51" s="15"/>
      <c r="K51" s="15"/>
      <c r="L51" s="15"/>
    </row>
    <row r="52" spans="1:41" ht="15.75" thickBot="1" x14ac:dyDescent="0.3">
      <c r="B52" s="54" t="s">
        <v>335</v>
      </c>
      <c r="C52" s="398" t="s">
        <v>13</v>
      </c>
      <c r="D52" s="398"/>
      <c r="E52" s="398"/>
      <c r="F52" s="398"/>
      <c r="G52" s="399"/>
      <c r="H52" s="16">
        <f>SUM(G53:G63)+H53</f>
        <v>0</v>
      </c>
      <c r="I52" s="171"/>
      <c r="J52" s="15"/>
      <c r="K52" s="15"/>
      <c r="L52" s="15"/>
    </row>
    <row r="53" spans="1:41" s="212" customFormat="1" x14ac:dyDescent="0.25">
      <c r="A53" s="15"/>
      <c r="B53" s="214" t="s">
        <v>336</v>
      </c>
      <c r="C53" s="156" t="s">
        <v>367</v>
      </c>
      <c r="D53" s="302" t="s">
        <v>14</v>
      </c>
      <c r="E53" s="28">
        <v>2</v>
      </c>
      <c r="F53" s="34">
        <v>0</v>
      </c>
      <c r="G53" s="215">
        <v>0</v>
      </c>
      <c r="H53" s="216"/>
      <c r="I53" s="169">
        <v>0.04</v>
      </c>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row>
    <row r="54" spans="1:41" s="212" customFormat="1" x14ac:dyDescent="0.25">
      <c r="A54" s="15"/>
      <c r="B54" s="214" t="s">
        <v>515</v>
      </c>
      <c r="C54" s="157" t="s">
        <v>368</v>
      </c>
      <c r="D54" s="302" t="s">
        <v>14</v>
      </c>
      <c r="E54" s="28">
        <v>1</v>
      </c>
      <c r="F54" s="34">
        <v>0</v>
      </c>
      <c r="G54" s="215">
        <v>0</v>
      </c>
      <c r="H54" s="216"/>
      <c r="I54" s="171"/>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row>
    <row r="55" spans="1:41" s="212" customFormat="1" x14ac:dyDescent="0.25">
      <c r="A55" s="15"/>
      <c r="B55" s="214" t="s">
        <v>516</v>
      </c>
      <c r="C55" s="157" t="s">
        <v>369</v>
      </c>
      <c r="D55" s="302" t="s">
        <v>14</v>
      </c>
      <c r="E55" s="28">
        <v>1</v>
      </c>
      <c r="F55" s="34">
        <v>0</v>
      </c>
      <c r="G55" s="215">
        <v>0</v>
      </c>
      <c r="H55" s="216"/>
      <c r="I55" s="171"/>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row>
    <row r="56" spans="1:41" s="212" customFormat="1" x14ac:dyDescent="0.25">
      <c r="A56" s="15"/>
      <c r="B56" s="214" t="s">
        <v>517</v>
      </c>
      <c r="C56" s="157" t="s">
        <v>417</v>
      </c>
      <c r="D56" s="302" t="s">
        <v>14</v>
      </c>
      <c r="E56" s="28">
        <v>4</v>
      </c>
      <c r="F56" s="34">
        <v>0</v>
      </c>
      <c r="G56" s="215">
        <v>0</v>
      </c>
      <c r="H56" s="216"/>
      <c r="I56" s="171"/>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row>
    <row r="57" spans="1:41" s="212" customFormat="1" x14ac:dyDescent="0.25">
      <c r="A57" s="15"/>
      <c r="B57" s="214" t="s">
        <v>518</v>
      </c>
      <c r="C57" s="157" t="s">
        <v>416</v>
      </c>
      <c r="D57" s="302" t="s">
        <v>14</v>
      </c>
      <c r="E57" s="28">
        <v>7</v>
      </c>
      <c r="F57" s="34">
        <v>0</v>
      </c>
      <c r="G57" s="215">
        <v>0</v>
      </c>
      <c r="H57" s="216"/>
      <c r="I57" s="171"/>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row>
    <row r="58" spans="1:41" s="212" customFormat="1" x14ac:dyDescent="0.25">
      <c r="A58" s="15"/>
      <c r="B58" s="214" t="s">
        <v>519</v>
      </c>
      <c r="C58" s="157" t="s">
        <v>500</v>
      </c>
      <c r="D58" s="302" t="s">
        <v>14</v>
      </c>
      <c r="E58" s="28">
        <v>13</v>
      </c>
      <c r="F58" s="34">
        <v>0</v>
      </c>
      <c r="G58" s="215">
        <v>0</v>
      </c>
      <c r="H58" s="216"/>
      <c r="I58" s="171"/>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row>
    <row r="59" spans="1:41" s="212" customFormat="1" x14ac:dyDescent="0.25">
      <c r="A59" s="15"/>
      <c r="B59" s="214" t="s">
        <v>520</v>
      </c>
      <c r="C59" s="157" t="s">
        <v>523</v>
      </c>
      <c r="D59" s="302" t="s">
        <v>14</v>
      </c>
      <c r="E59" s="28">
        <v>14</v>
      </c>
      <c r="F59" s="34">
        <v>0</v>
      </c>
      <c r="G59" s="215">
        <v>0</v>
      </c>
      <c r="H59" s="216"/>
      <c r="I59" s="171"/>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row>
    <row r="60" spans="1:41" s="212" customFormat="1" x14ac:dyDescent="0.25">
      <c r="A60" s="15"/>
      <c r="B60" s="214" t="s">
        <v>521</v>
      </c>
      <c r="C60" s="157" t="s">
        <v>576</v>
      </c>
      <c r="D60" s="302" t="s">
        <v>14</v>
      </c>
      <c r="E60" s="28">
        <v>14</v>
      </c>
      <c r="F60" s="34">
        <v>0</v>
      </c>
      <c r="G60" s="215">
        <v>0</v>
      </c>
      <c r="H60" s="216"/>
      <c r="I60" s="171"/>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row>
    <row r="61" spans="1:41" s="212" customFormat="1" x14ac:dyDescent="0.25">
      <c r="A61" s="15"/>
      <c r="B61" s="214" t="s">
        <v>522</v>
      </c>
      <c r="C61" s="157" t="s">
        <v>582</v>
      </c>
      <c r="D61" s="302" t="s">
        <v>14</v>
      </c>
      <c r="E61" s="28">
        <v>4</v>
      </c>
      <c r="F61" s="34">
        <v>0</v>
      </c>
      <c r="G61" s="215">
        <v>0</v>
      </c>
      <c r="H61" s="223"/>
      <c r="I61" s="171"/>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row>
    <row r="62" spans="1:41" s="212" customFormat="1" x14ac:dyDescent="0.25">
      <c r="A62" s="15"/>
      <c r="B62" s="214" t="s">
        <v>584</v>
      </c>
      <c r="C62" s="157" t="s">
        <v>583</v>
      </c>
      <c r="D62" s="302" t="s">
        <v>14</v>
      </c>
      <c r="E62" s="28">
        <v>8</v>
      </c>
      <c r="F62" s="34">
        <v>0</v>
      </c>
      <c r="G62" s="215">
        <v>0</v>
      </c>
      <c r="H62" s="223"/>
      <c r="I62" s="171"/>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row>
    <row r="63" spans="1:41" s="212" customFormat="1" ht="15.75" thickBot="1" x14ac:dyDescent="0.3">
      <c r="A63" s="15"/>
      <c r="B63" s="214" t="s">
        <v>585</v>
      </c>
      <c r="C63" s="157" t="s">
        <v>501</v>
      </c>
      <c r="D63" s="302" t="s">
        <v>11</v>
      </c>
      <c r="E63" s="207">
        <v>32</v>
      </c>
      <c r="F63" s="34">
        <v>0</v>
      </c>
      <c r="G63" s="215">
        <v>0</v>
      </c>
      <c r="H63" s="223"/>
      <c r="I63" s="171"/>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row>
    <row r="64" spans="1:41" ht="15.75" thickBot="1" x14ac:dyDescent="0.3">
      <c r="B64" s="54" t="s">
        <v>471</v>
      </c>
      <c r="C64" s="398" t="s">
        <v>16</v>
      </c>
      <c r="D64" s="398"/>
      <c r="E64" s="398"/>
      <c r="F64" s="398"/>
      <c r="G64" s="399"/>
      <c r="H64" s="16">
        <f>SUM(G65:G74)</f>
        <v>0</v>
      </c>
      <c r="I64" s="168"/>
      <c r="J64" s="15"/>
      <c r="K64" s="15"/>
      <c r="L64" s="15"/>
    </row>
    <row r="65" spans="1:41" ht="25.5" customHeight="1" x14ac:dyDescent="0.25">
      <c r="B65" s="179" t="s">
        <v>525</v>
      </c>
      <c r="C65" s="209" t="s">
        <v>468</v>
      </c>
      <c r="D65" s="303" t="s">
        <v>4</v>
      </c>
      <c r="E65" s="219">
        <v>1</v>
      </c>
      <c r="F65" s="227">
        <v>0</v>
      </c>
      <c r="G65" s="222">
        <v>0</v>
      </c>
      <c r="H65" s="208"/>
      <c r="I65" s="170"/>
      <c r="J65" s="15"/>
      <c r="K65" s="15"/>
      <c r="L65" s="15"/>
    </row>
    <row r="66" spans="1:41" s="212" customFormat="1" ht="15.75" thickBot="1" x14ac:dyDescent="0.3">
      <c r="A66" s="15"/>
      <c r="B66" s="214" t="s">
        <v>428</v>
      </c>
      <c r="C66" s="209" t="s">
        <v>574</v>
      </c>
      <c r="D66" s="302" t="s">
        <v>14</v>
      </c>
      <c r="E66" s="219">
        <v>55</v>
      </c>
      <c r="F66" s="220">
        <v>0</v>
      </c>
      <c r="G66" s="222">
        <v>0</v>
      </c>
      <c r="H66" s="223"/>
      <c r="I66" s="171"/>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row>
    <row r="67" spans="1:41" s="212" customFormat="1" ht="15.75" thickBot="1" x14ac:dyDescent="0.3">
      <c r="A67" s="15"/>
      <c r="B67" s="54"/>
      <c r="C67" s="357" t="s">
        <v>370</v>
      </c>
      <c r="D67" s="310"/>
      <c r="E67" s="330"/>
      <c r="F67" s="8"/>
      <c r="G67" s="353"/>
      <c r="H67" s="354"/>
      <c r="I67" s="171"/>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row>
    <row r="68" spans="1:41" s="212" customFormat="1" x14ac:dyDescent="0.25">
      <c r="A68" s="15"/>
      <c r="B68" s="214" t="s">
        <v>429</v>
      </c>
      <c r="C68" s="156" t="s">
        <v>371</v>
      </c>
      <c r="D68" s="302" t="s">
        <v>14</v>
      </c>
      <c r="E68" s="162">
        <v>11</v>
      </c>
      <c r="F68" s="227">
        <v>0</v>
      </c>
      <c r="G68" s="222">
        <v>0</v>
      </c>
      <c r="H68" s="223"/>
      <c r="I68" s="171"/>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row>
    <row r="69" spans="1:41" ht="20.100000000000001" customHeight="1" x14ac:dyDescent="0.25">
      <c r="B69" s="214" t="s">
        <v>430</v>
      </c>
      <c r="C69" s="157" t="s">
        <v>401</v>
      </c>
      <c r="D69" s="302" t="s">
        <v>14</v>
      </c>
      <c r="E69" s="28">
        <v>23</v>
      </c>
      <c r="F69" s="34">
        <v>0</v>
      </c>
      <c r="G69" s="215">
        <v>0</v>
      </c>
      <c r="H69" s="216"/>
      <c r="I69" s="170"/>
      <c r="J69" s="15"/>
      <c r="K69" s="15"/>
      <c r="L69" s="15"/>
    </row>
    <row r="70" spans="1:41" ht="33" customHeight="1" x14ac:dyDescent="0.25">
      <c r="B70" s="214" t="s">
        <v>431</v>
      </c>
      <c r="C70" s="157" t="s">
        <v>400</v>
      </c>
      <c r="D70" s="302" t="s">
        <v>14</v>
      </c>
      <c r="E70" s="28">
        <v>6</v>
      </c>
      <c r="F70" s="34">
        <v>0</v>
      </c>
      <c r="G70" s="215">
        <v>0</v>
      </c>
      <c r="H70" s="216"/>
      <c r="I70" s="170"/>
      <c r="J70" s="15"/>
      <c r="K70" s="15"/>
      <c r="L70" s="15"/>
    </row>
    <row r="71" spans="1:41" ht="47.25" customHeight="1" x14ac:dyDescent="0.25">
      <c r="B71" s="214" t="s">
        <v>544</v>
      </c>
      <c r="C71" s="157" t="s">
        <v>432</v>
      </c>
      <c r="D71" s="302" t="s">
        <v>14</v>
      </c>
      <c r="E71" s="28">
        <v>7</v>
      </c>
      <c r="F71" s="34">
        <v>0</v>
      </c>
      <c r="G71" s="215">
        <v>0</v>
      </c>
      <c r="H71" s="216"/>
      <c r="I71" s="170"/>
      <c r="J71" s="15"/>
      <c r="K71" s="15"/>
      <c r="L71" s="15"/>
    </row>
    <row r="72" spans="1:41" ht="66.75" customHeight="1" x14ac:dyDescent="0.25">
      <c r="B72" s="214" t="s">
        <v>545</v>
      </c>
      <c r="C72" s="157" t="s">
        <v>433</v>
      </c>
      <c r="D72" s="302" t="s">
        <v>14</v>
      </c>
      <c r="E72" s="28">
        <v>8</v>
      </c>
      <c r="F72" s="34">
        <v>0</v>
      </c>
      <c r="G72" s="215">
        <v>0</v>
      </c>
      <c r="H72" s="216"/>
      <c r="I72" s="170"/>
      <c r="J72" s="15"/>
      <c r="K72" s="15"/>
      <c r="L72" s="15"/>
    </row>
    <row r="73" spans="1:41" ht="20.100000000000001" customHeight="1" x14ac:dyDescent="0.25">
      <c r="B73" s="214" t="s">
        <v>546</v>
      </c>
      <c r="C73" s="157" t="s">
        <v>36</v>
      </c>
      <c r="D73" s="302" t="s">
        <v>14</v>
      </c>
      <c r="E73" s="162">
        <v>6</v>
      </c>
      <c r="F73" s="221">
        <v>0</v>
      </c>
      <c r="G73" s="222">
        <v>0</v>
      </c>
      <c r="H73" s="208"/>
      <c r="I73" s="170"/>
      <c r="J73" s="15"/>
      <c r="K73" s="15"/>
      <c r="L73" s="15"/>
    </row>
    <row r="74" spans="1:41" ht="20.100000000000001" customHeight="1" thickBot="1" x14ac:dyDescent="0.3">
      <c r="B74" s="214" t="s">
        <v>547</v>
      </c>
      <c r="C74" s="157" t="s">
        <v>402</v>
      </c>
      <c r="D74" s="311" t="s">
        <v>14</v>
      </c>
      <c r="E74" s="228">
        <v>4</v>
      </c>
      <c r="F74" s="229">
        <v>0</v>
      </c>
      <c r="G74" s="231">
        <v>0</v>
      </c>
      <c r="H74" s="208"/>
      <c r="I74" s="170"/>
      <c r="J74" s="15"/>
      <c r="K74" s="15"/>
      <c r="L74" s="15"/>
    </row>
    <row r="75" spans="1:41" ht="15.75" thickBot="1" x14ac:dyDescent="0.3">
      <c r="B75" s="54" t="s">
        <v>472</v>
      </c>
      <c r="C75" s="398" t="s">
        <v>33</v>
      </c>
      <c r="D75" s="398"/>
      <c r="E75" s="398"/>
      <c r="F75" s="398"/>
      <c r="G75" s="399"/>
      <c r="H75" s="16">
        <f>SUM(G76:G79)</f>
        <v>0</v>
      </c>
      <c r="I75" s="171"/>
      <c r="J75" s="15"/>
      <c r="K75" s="15"/>
      <c r="L75" s="15"/>
    </row>
    <row r="76" spans="1:41" x14ac:dyDescent="0.25">
      <c r="B76" s="335" t="s">
        <v>526</v>
      </c>
      <c r="C76" s="156" t="s">
        <v>340</v>
      </c>
      <c r="D76" s="302" t="s">
        <v>11</v>
      </c>
      <c r="E76" s="28">
        <f>+E36+E37</f>
        <v>762</v>
      </c>
      <c r="F76" s="34">
        <v>0</v>
      </c>
      <c r="G76" s="20">
        <f>+F76*E76</f>
        <v>0</v>
      </c>
      <c r="H76" s="180"/>
      <c r="I76" s="168"/>
      <c r="J76" s="15"/>
      <c r="K76" s="15"/>
      <c r="L76" s="15"/>
    </row>
    <row r="77" spans="1:41" x14ac:dyDescent="0.25">
      <c r="B77" s="335" t="s">
        <v>342</v>
      </c>
      <c r="C77" s="157" t="s">
        <v>34</v>
      </c>
      <c r="D77" s="302" t="s">
        <v>11</v>
      </c>
      <c r="E77" s="17">
        <v>82</v>
      </c>
      <c r="F77" s="34">
        <v>0</v>
      </c>
      <c r="G77" s="20">
        <f>+F77*E77</f>
        <v>0</v>
      </c>
      <c r="H77" s="180"/>
      <c r="I77" s="172"/>
      <c r="J77" s="15"/>
      <c r="K77" s="15"/>
      <c r="L77" s="15"/>
    </row>
    <row r="78" spans="1:41" ht="25.5" x14ac:dyDescent="0.25">
      <c r="B78" s="335" t="s">
        <v>343</v>
      </c>
      <c r="C78" s="157" t="s">
        <v>341</v>
      </c>
      <c r="D78" s="303" t="s">
        <v>11</v>
      </c>
      <c r="E78" s="17">
        <v>285</v>
      </c>
      <c r="F78" s="34">
        <v>0</v>
      </c>
      <c r="G78" s="20">
        <f>+F78*E78</f>
        <v>0</v>
      </c>
      <c r="H78" s="184"/>
      <c r="I78" s="172"/>
      <c r="J78" s="15"/>
      <c r="K78" s="15"/>
      <c r="L78" s="15"/>
    </row>
    <row r="79" spans="1:41" ht="15.75" thickBot="1" x14ac:dyDescent="0.3">
      <c r="B79" s="335" t="s">
        <v>344</v>
      </c>
      <c r="C79" s="157" t="s">
        <v>345</v>
      </c>
      <c r="D79" s="303" t="s">
        <v>11</v>
      </c>
      <c r="E79" s="17">
        <v>100</v>
      </c>
      <c r="F79" s="34">
        <v>0</v>
      </c>
      <c r="G79" s="33">
        <f>+F79*E79</f>
        <v>0</v>
      </c>
      <c r="H79" s="184"/>
      <c r="I79" s="172"/>
      <c r="J79" s="15"/>
      <c r="K79" s="15"/>
      <c r="L79" s="15"/>
    </row>
    <row r="80" spans="1:41" ht="15.75" thickBot="1" x14ac:dyDescent="0.3">
      <c r="B80" s="54" t="s">
        <v>434</v>
      </c>
      <c r="C80" s="398" t="s">
        <v>55</v>
      </c>
      <c r="D80" s="398"/>
      <c r="E80" s="398"/>
      <c r="F80" s="398"/>
      <c r="G80" s="399"/>
      <c r="H80" s="16">
        <f>SUM(G82:G88)</f>
        <v>0</v>
      </c>
      <c r="I80" s="168"/>
      <c r="J80" s="15"/>
      <c r="K80" s="15"/>
      <c r="L80" s="15"/>
    </row>
    <row r="81" spans="2:12" ht="15.75" thickBot="1" x14ac:dyDescent="0.3">
      <c r="B81" s="54"/>
      <c r="C81" s="357" t="s">
        <v>441</v>
      </c>
      <c r="D81" s="310"/>
      <c r="E81" s="330"/>
      <c r="F81" s="8"/>
      <c r="G81" s="353"/>
      <c r="H81" s="354"/>
      <c r="I81" s="168"/>
      <c r="J81" s="15"/>
      <c r="K81" s="15"/>
      <c r="L81" s="15"/>
    </row>
    <row r="82" spans="2:12" x14ac:dyDescent="0.25">
      <c r="B82" s="246" t="s">
        <v>435</v>
      </c>
      <c r="C82" s="247" t="s">
        <v>549</v>
      </c>
      <c r="D82" s="302" t="s">
        <v>14</v>
      </c>
      <c r="E82" s="28">
        <v>1</v>
      </c>
      <c r="F82" s="221">
        <v>0</v>
      </c>
      <c r="G82" s="240">
        <v>0</v>
      </c>
      <c r="H82" s="180"/>
      <c r="I82" s="170"/>
      <c r="J82" s="15"/>
      <c r="K82" s="15"/>
      <c r="L82" s="15"/>
    </row>
    <row r="83" spans="2:12" x14ac:dyDescent="0.25">
      <c r="B83" s="246" t="s">
        <v>436</v>
      </c>
      <c r="C83" s="247" t="s">
        <v>443</v>
      </c>
      <c r="D83" s="302" t="s">
        <v>14</v>
      </c>
      <c r="E83" s="28">
        <v>1</v>
      </c>
      <c r="F83" s="221">
        <v>0</v>
      </c>
      <c r="G83" s="240">
        <v>0</v>
      </c>
      <c r="H83" s="180"/>
      <c r="I83" s="170"/>
      <c r="J83" s="15"/>
      <c r="K83" s="15"/>
      <c r="L83" s="15"/>
    </row>
    <row r="84" spans="2:12" ht="15.75" thickBot="1" x14ac:dyDescent="0.3">
      <c r="B84" s="246" t="s">
        <v>437</v>
      </c>
      <c r="C84" s="328" t="s">
        <v>414</v>
      </c>
      <c r="D84" s="329" t="s">
        <v>14</v>
      </c>
      <c r="E84" s="28">
        <v>3</v>
      </c>
      <c r="F84" s="243">
        <v>0</v>
      </c>
      <c r="G84" s="245">
        <v>0</v>
      </c>
      <c r="H84" s="189"/>
      <c r="I84" s="170"/>
      <c r="J84" s="15"/>
      <c r="K84" s="15"/>
      <c r="L84" s="15"/>
    </row>
    <row r="85" spans="2:12" ht="15.75" thickBot="1" x14ac:dyDescent="0.3">
      <c r="B85" s="54"/>
      <c r="C85" s="357" t="s">
        <v>442</v>
      </c>
      <c r="D85" s="310"/>
      <c r="E85" s="330"/>
      <c r="F85" s="8"/>
      <c r="G85" s="332"/>
      <c r="H85" s="16"/>
      <c r="I85" s="168"/>
      <c r="J85" s="15"/>
      <c r="K85" s="15"/>
      <c r="L85" s="15"/>
    </row>
    <row r="86" spans="2:12" x14ac:dyDescent="0.25">
      <c r="B86" s="255" t="s">
        <v>550</v>
      </c>
      <c r="C86" s="232" t="s">
        <v>387</v>
      </c>
      <c r="D86" s="306" t="s">
        <v>11</v>
      </c>
      <c r="E86" s="224">
        <v>11</v>
      </c>
      <c r="F86" s="34">
        <v>0</v>
      </c>
      <c r="G86" s="20">
        <v>0</v>
      </c>
      <c r="H86" s="225"/>
      <c r="I86" s="170"/>
      <c r="J86" s="15"/>
      <c r="K86" s="15"/>
      <c r="L86" s="15"/>
    </row>
    <row r="87" spans="2:12" x14ac:dyDescent="0.25">
      <c r="B87" s="255" t="s">
        <v>551</v>
      </c>
      <c r="C87" s="155" t="s">
        <v>56</v>
      </c>
      <c r="D87" s="311" t="s">
        <v>391</v>
      </c>
      <c r="E87" s="51">
        <v>14</v>
      </c>
      <c r="F87" s="30">
        <v>0</v>
      </c>
      <c r="G87" s="20">
        <v>0</v>
      </c>
      <c r="H87" s="181"/>
      <c r="I87" s="170"/>
      <c r="J87" s="15"/>
      <c r="K87" s="15"/>
      <c r="L87" s="15"/>
    </row>
    <row r="88" spans="2:12" ht="15.75" thickBot="1" x14ac:dyDescent="0.3">
      <c r="B88" s="255" t="s">
        <v>527</v>
      </c>
      <c r="C88" s="160" t="s">
        <v>281</v>
      </c>
      <c r="D88" s="304" t="s">
        <v>392</v>
      </c>
      <c r="E88" s="24">
        <f>3+2+3.38</f>
        <v>8.379999999999999</v>
      </c>
      <c r="F88" s="31">
        <v>0</v>
      </c>
      <c r="G88" s="20">
        <v>0</v>
      </c>
      <c r="H88" s="181"/>
      <c r="I88" s="170"/>
      <c r="J88" s="15"/>
      <c r="K88" s="15"/>
      <c r="L88" s="15"/>
    </row>
    <row r="89" spans="2:12" ht="15.75" thickBot="1" x14ac:dyDescent="0.3">
      <c r="B89" s="54" t="s">
        <v>444</v>
      </c>
      <c r="C89" s="398" t="s">
        <v>37</v>
      </c>
      <c r="D89" s="398"/>
      <c r="E89" s="398"/>
      <c r="F89" s="398"/>
      <c r="G89" s="399"/>
      <c r="H89" s="16">
        <f>SUM(G90:G106)</f>
        <v>0</v>
      </c>
      <c r="J89" s="15"/>
      <c r="K89" s="15"/>
      <c r="L89" s="15"/>
    </row>
    <row r="90" spans="2:12" ht="25.5" x14ac:dyDescent="0.25">
      <c r="B90" s="256" t="s">
        <v>445</v>
      </c>
      <c r="C90" s="248" t="s">
        <v>38</v>
      </c>
      <c r="D90" s="307" t="s">
        <v>4</v>
      </c>
      <c r="E90" s="234">
        <v>1</v>
      </c>
      <c r="F90" s="227">
        <v>0</v>
      </c>
      <c r="G90" s="236">
        <v>0</v>
      </c>
      <c r="H90" s="237"/>
      <c r="J90" s="15"/>
      <c r="K90" s="15"/>
      <c r="L90" s="15"/>
    </row>
    <row r="91" spans="2:12" x14ac:dyDescent="0.25">
      <c r="B91" s="257" t="s">
        <v>446</v>
      </c>
      <c r="C91" s="249" t="s">
        <v>573</v>
      </c>
      <c r="D91" s="302" t="s">
        <v>14</v>
      </c>
      <c r="E91" s="28">
        <v>2</v>
      </c>
      <c r="F91" s="221">
        <v>0</v>
      </c>
      <c r="G91" s="240">
        <v>0</v>
      </c>
      <c r="H91" s="180"/>
      <c r="J91" s="15"/>
      <c r="K91" s="15"/>
      <c r="L91" s="15"/>
    </row>
    <row r="92" spans="2:12" ht="30.75" customHeight="1" thickBot="1" x14ac:dyDescent="0.3">
      <c r="B92" s="257" t="s">
        <v>447</v>
      </c>
      <c r="C92" s="250" t="s">
        <v>415</v>
      </c>
      <c r="D92" s="311" t="s">
        <v>14</v>
      </c>
      <c r="E92" s="51">
        <v>1</v>
      </c>
      <c r="F92" s="229">
        <v>0</v>
      </c>
      <c r="G92" s="252">
        <v>0</v>
      </c>
      <c r="H92" s="187"/>
      <c r="J92" s="15"/>
      <c r="K92" s="15"/>
      <c r="L92" s="15"/>
    </row>
    <row r="93" spans="2:12" ht="31.5" customHeight="1" thickBot="1" x14ac:dyDescent="0.3">
      <c r="B93" s="54"/>
      <c r="C93" s="357" t="s">
        <v>39</v>
      </c>
      <c r="D93" s="310"/>
      <c r="E93" s="330"/>
      <c r="F93" s="8"/>
      <c r="G93" s="353"/>
      <c r="H93" s="354"/>
      <c r="J93" s="15"/>
      <c r="K93" s="15"/>
      <c r="L93" s="15"/>
    </row>
    <row r="94" spans="2:12" x14ac:dyDescent="0.25">
      <c r="B94" s="253" t="s">
        <v>448</v>
      </c>
      <c r="C94" s="217" t="s">
        <v>394</v>
      </c>
      <c r="D94" s="303" t="s">
        <v>14</v>
      </c>
      <c r="E94" s="17">
        <v>4</v>
      </c>
      <c r="F94" s="254">
        <v>0</v>
      </c>
      <c r="G94" s="20">
        <v>0</v>
      </c>
      <c r="H94" s="184"/>
      <c r="J94" s="15"/>
      <c r="K94" s="15"/>
      <c r="L94" s="15"/>
    </row>
    <row r="95" spans="2:12" x14ac:dyDescent="0.25">
      <c r="B95" s="253" t="s">
        <v>449</v>
      </c>
      <c r="C95" s="157" t="s">
        <v>554</v>
      </c>
      <c r="D95" s="302" t="s">
        <v>14</v>
      </c>
      <c r="E95" s="28">
        <v>4</v>
      </c>
      <c r="F95" s="221">
        <v>0</v>
      </c>
      <c r="G95" s="240">
        <v>0</v>
      </c>
      <c r="H95" s="180"/>
      <c r="J95" s="15"/>
      <c r="K95" s="15"/>
      <c r="L95" s="15"/>
    </row>
    <row r="96" spans="2:12" x14ac:dyDescent="0.25">
      <c r="B96" s="253" t="s">
        <v>450</v>
      </c>
      <c r="C96" s="157" t="s">
        <v>40</v>
      </c>
      <c r="D96" s="302" t="s">
        <v>14</v>
      </c>
      <c r="E96" s="28">
        <v>4</v>
      </c>
      <c r="F96" s="221">
        <v>0</v>
      </c>
      <c r="G96" s="240">
        <v>0</v>
      </c>
      <c r="H96" s="180"/>
      <c r="J96" s="15"/>
      <c r="K96" s="15"/>
      <c r="L96" s="15"/>
    </row>
    <row r="97" spans="2:12" ht="39.75" customHeight="1" x14ac:dyDescent="0.25">
      <c r="B97" s="253" t="s">
        <v>451</v>
      </c>
      <c r="C97" s="157" t="s">
        <v>372</v>
      </c>
      <c r="D97" s="302" t="s">
        <v>14</v>
      </c>
      <c r="E97" s="28">
        <v>2</v>
      </c>
      <c r="F97" s="221">
        <v>0</v>
      </c>
      <c r="G97" s="240">
        <v>0</v>
      </c>
      <c r="H97" s="180"/>
      <c r="J97" s="15"/>
      <c r="K97" s="15"/>
      <c r="L97" s="15"/>
    </row>
    <row r="98" spans="2:12" ht="23.25" customHeight="1" x14ac:dyDescent="0.25">
      <c r="B98" s="253" t="s">
        <v>452</v>
      </c>
      <c r="C98" s="157" t="s">
        <v>556</v>
      </c>
      <c r="D98" s="302" t="s">
        <v>14</v>
      </c>
      <c r="E98" s="28">
        <v>3</v>
      </c>
      <c r="F98" s="221">
        <v>0</v>
      </c>
      <c r="G98" s="240">
        <v>0</v>
      </c>
      <c r="H98" s="180"/>
      <c r="J98" s="15"/>
      <c r="K98" s="15"/>
      <c r="L98" s="15"/>
    </row>
    <row r="99" spans="2:12" ht="23.25" customHeight="1" x14ac:dyDescent="0.25">
      <c r="B99" s="253" t="s">
        <v>528</v>
      </c>
      <c r="C99" s="157" t="s">
        <v>558</v>
      </c>
      <c r="D99" s="302" t="s">
        <v>14</v>
      </c>
      <c r="E99" s="28">
        <v>1</v>
      </c>
      <c r="F99" s="221">
        <v>0</v>
      </c>
      <c r="G99" s="240">
        <v>0</v>
      </c>
      <c r="H99" s="180"/>
      <c r="J99" s="15"/>
      <c r="K99" s="15"/>
      <c r="L99" s="15"/>
    </row>
    <row r="100" spans="2:12" x14ac:dyDescent="0.25">
      <c r="B100" s="253" t="s">
        <v>529</v>
      </c>
      <c r="C100" s="157" t="s">
        <v>560</v>
      </c>
      <c r="D100" s="302" t="s">
        <v>14</v>
      </c>
      <c r="E100" s="28">
        <v>4</v>
      </c>
      <c r="F100" s="221">
        <v>0</v>
      </c>
      <c r="G100" s="240">
        <v>0</v>
      </c>
      <c r="H100" s="180"/>
      <c r="J100" s="15"/>
      <c r="K100" s="15"/>
      <c r="L100" s="15"/>
    </row>
    <row r="101" spans="2:12" x14ac:dyDescent="0.25">
      <c r="B101" s="253" t="s">
        <v>530</v>
      </c>
      <c r="C101" s="157" t="s">
        <v>41</v>
      </c>
      <c r="D101" s="302" t="s">
        <v>14</v>
      </c>
      <c r="E101" s="28">
        <v>4</v>
      </c>
      <c r="F101" s="221">
        <v>0</v>
      </c>
      <c r="G101" s="240">
        <v>0</v>
      </c>
      <c r="H101" s="180"/>
      <c r="J101" s="15"/>
      <c r="K101" s="15"/>
      <c r="L101" s="15"/>
    </row>
    <row r="102" spans="2:12" x14ac:dyDescent="0.25">
      <c r="B102" s="253" t="s">
        <v>561</v>
      </c>
      <c r="C102" s="157" t="s">
        <v>395</v>
      </c>
      <c r="D102" s="302" t="s">
        <v>14</v>
      </c>
      <c r="E102" s="28">
        <v>1</v>
      </c>
      <c r="F102" s="221">
        <v>0</v>
      </c>
      <c r="G102" s="240">
        <v>0</v>
      </c>
      <c r="H102" s="180"/>
      <c r="J102" s="15"/>
      <c r="K102" s="15"/>
      <c r="L102" s="15"/>
    </row>
    <row r="103" spans="2:12" ht="42" customHeight="1" x14ac:dyDescent="0.25">
      <c r="B103" s="253" t="s">
        <v>562</v>
      </c>
      <c r="C103" s="159" t="s">
        <v>564</v>
      </c>
      <c r="D103" s="311" t="s">
        <v>14</v>
      </c>
      <c r="E103" s="51">
        <v>1</v>
      </c>
      <c r="F103" s="221">
        <v>0</v>
      </c>
      <c r="G103" s="240">
        <v>0</v>
      </c>
      <c r="H103" s="187"/>
      <c r="J103" s="15"/>
      <c r="K103" s="15"/>
      <c r="L103" s="15"/>
    </row>
    <row r="104" spans="2:12" ht="15" customHeight="1" x14ac:dyDescent="0.25">
      <c r="B104" s="253" t="s">
        <v>563</v>
      </c>
      <c r="C104" s="159" t="s">
        <v>405</v>
      </c>
      <c r="D104" s="311" t="s">
        <v>14</v>
      </c>
      <c r="E104" s="51">
        <v>1</v>
      </c>
      <c r="F104" s="229">
        <v>0</v>
      </c>
      <c r="G104" s="240">
        <v>0</v>
      </c>
      <c r="H104" s="187"/>
      <c r="J104" s="15"/>
      <c r="K104" s="15"/>
      <c r="L104" s="15"/>
    </row>
    <row r="105" spans="2:12" ht="15" customHeight="1" x14ac:dyDescent="0.25">
      <c r="B105" s="253" t="s">
        <v>566</v>
      </c>
      <c r="C105" s="159" t="s">
        <v>567</v>
      </c>
      <c r="D105" s="311" t="s">
        <v>14</v>
      </c>
      <c r="E105" s="51">
        <v>2</v>
      </c>
      <c r="F105" s="229">
        <v>0</v>
      </c>
      <c r="G105" s="240">
        <v>0</v>
      </c>
      <c r="H105" s="187"/>
      <c r="J105" s="15"/>
      <c r="K105" s="15"/>
      <c r="L105" s="15"/>
    </row>
    <row r="106" spans="2:12" ht="15" customHeight="1" thickBot="1" x14ac:dyDescent="0.3">
      <c r="B106" s="253" t="s">
        <v>569</v>
      </c>
      <c r="C106" s="242" t="s">
        <v>570</v>
      </c>
      <c r="D106" s="308" t="s">
        <v>14</v>
      </c>
      <c r="E106" s="188">
        <v>2</v>
      </c>
      <c r="F106" s="243">
        <v>0</v>
      </c>
      <c r="G106" s="240">
        <v>0</v>
      </c>
      <c r="H106" s="189"/>
      <c r="J106" s="15"/>
      <c r="K106" s="15"/>
      <c r="L106" s="15"/>
    </row>
    <row r="107" spans="2:12" ht="15.75" thickBot="1" x14ac:dyDescent="0.3">
      <c r="B107" s="54" t="s">
        <v>453</v>
      </c>
      <c r="C107" s="398" t="s">
        <v>548</v>
      </c>
      <c r="D107" s="398"/>
      <c r="E107" s="398"/>
      <c r="F107" s="398"/>
      <c r="G107" s="399"/>
      <c r="H107" s="16">
        <f>SUM(G108:G109)</f>
        <v>0</v>
      </c>
      <c r="J107" s="15"/>
      <c r="K107" s="15"/>
      <c r="L107" s="15"/>
    </row>
    <row r="108" spans="2:12" ht="60.75" customHeight="1" x14ac:dyDescent="0.25">
      <c r="B108" s="185" t="s">
        <v>458</v>
      </c>
      <c r="C108" s="55" t="s">
        <v>408</v>
      </c>
      <c r="D108" s="348" t="s">
        <v>14</v>
      </c>
      <c r="E108" s="234">
        <v>2</v>
      </c>
      <c r="F108" s="227">
        <v>0</v>
      </c>
      <c r="G108" s="236">
        <v>0</v>
      </c>
      <c r="H108" s="180"/>
      <c r="J108" s="15"/>
      <c r="K108" s="15"/>
      <c r="L108" s="15"/>
    </row>
    <row r="109" spans="2:12" ht="60.75" customHeight="1" thickBot="1" x14ac:dyDescent="0.3">
      <c r="B109" s="185" t="s">
        <v>459</v>
      </c>
      <c r="C109" s="55" t="s">
        <v>409</v>
      </c>
      <c r="D109" s="346" t="s">
        <v>14</v>
      </c>
      <c r="E109" s="347">
        <v>2</v>
      </c>
      <c r="F109" s="344">
        <v>0</v>
      </c>
      <c r="G109" s="20">
        <v>0</v>
      </c>
      <c r="H109" s="181"/>
      <c r="J109" s="15"/>
      <c r="K109" s="15"/>
      <c r="L109" s="15"/>
    </row>
    <row r="110" spans="2:12" ht="15.75" thickBot="1" x14ac:dyDescent="0.3">
      <c r="B110" s="54" t="s">
        <v>454</v>
      </c>
      <c r="C110" s="398" t="s">
        <v>42</v>
      </c>
      <c r="D110" s="398"/>
      <c r="E110" s="398"/>
      <c r="F110" s="398"/>
      <c r="G110" s="399"/>
      <c r="H110" s="16">
        <f>SUM(G111:G111)</f>
        <v>0</v>
      </c>
      <c r="J110" s="15"/>
      <c r="K110" s="15"/>
      <c r="L110" s="15"/>
    </row>
    <row r="111" spans="2:12" ht="15.75" thickBot="1" x14ac:dyDescent="0.3">
      <c r="B111" s="186" t="s">
        <v>460</v>
      </c>
      <c r="C111" s="158" t="s">
        <v>43</v>
      </c>
      <c r="D111" s="304" t="s">
        <v>14</v>
      </c>
      <c r="E111" s="24">
        <v>6</v>
      </c>
      <c r="F111" s="30">
        <v>0</v>
      </c>
      <c r="G111" s="20">
        <v>0</v>
      </c>
      <c r="H111" s="181"/>
      <c r="J111" s="15"/>
      <c r="K111" s="15"/>
      <c r="L111" s="15"/>
    </row>
    <row r="112" spans="2:12" ht="15.75" thickBot="1" x14ac:dyDescent="0.3">
      <c r="B112" s="54" t="s">
        <v>455</v>
      </c>
      <c r="C112" s="398" t="s">
        <v>277</v>
      </c>
      <c r="D112" s="398"/>
      <c r="E112" s="398"/>
      <c r="F112" s="398"/>
      <c r="G112" s="399"/>
      <c r="H112" s="16">
        <f>SUM(G113:G116)</f>
        <v>0</v>
      </c>
      <c r="I112" s="169">
        <v>7.0000000000000007E-2</v>
      </c>
      <c r="J112" s="15"/>
      <c r="K112" s="15"/>
      <c r="L112" s="15"/>
    </row>
    <row r="113" spans="2:12" ht="28.5" customHeight="1" x14ac:dyDescent="0.25">
      <c r="B113" s="179" t="s">
        <v>461</v>
      </c>
      <c r="C113" s="156" t="s">
        <v>410</v>
      </c>
      <c r="D113" s="302" t="s">
        <v>15</v>
      </c>
      <c r="E113" s="28">
        <v>1</v>
      </c>
      <c r="F113" s="30">
        <v>0</v>
      </c>
      <c r="G113" s="20">
        <v>0</v>
      </c>
      <c r="H113" s="180"/>
      <c r="I113" s="168"/>
      <c r="J113" s="15"/>
      <c r="K113" s="15"/>
      <c r="L113" s="15"/>
    </row>
    <row r="114" spans="2:12" ht="21" customHeight="1" x14ac:dyDescent="0.25">
      <c r="B114" s="179" t="s">
        <v>462</v>
      </c>
      <c r="C114" s="157" t="s">
        <v>406</v>
      </c>
      <c r="D114" s="302" t="s">
        <v>12</v>
      </c>
      <c r="E114" s="28">
        <v>80</v>
      </c>
      <c r="F114" s="30">
        <v>0</v>
      </c>
      <c r="G114" s="20">
        <v>0</v>
      </c>
      <c r="H114" s="180"/>
      <c r="I114" s="172"/>
      <c r="J114" s="15"/>
      <c r="K114" s="15"/>
      <c r="L114" s="15"/>
    </row>
    <row r="115" spans="2:12" ht="37.5" customHeight="1" x14ac:dyDescent="0.25">
      <c r="B115" s="179" t="s">
        <v>539</v>
      </c>
      <c r="C115" s="159" t="s">
        <v>407</v>
      </c>
      <c r="D115" s="311" t="s">
        <v>12</v>
      </c>
      <c r="E115" s="51">
        <v>5</v>
      </c>
      <c r="F115" s="30">
        <v>0</v>
      </c>
      <c r="G115" s="20">
        <v>0</v>
      </c>
      <c r="H115" s="187"/>
      <c r="I115" s="172"/>
      <c r="J115" s="15"/>
      <c r="K115" s="15"/>
      <c r="L115" s="15"/>
    </row>
    <row r="116" spans="2:12" ht="15.75" thickBot="1" x14ac:dyDescent="0.3">
      <c r="B116" s="179" t="s">
        <v>540</v>
      </c>
      <c r="C116" s="159" t="s">
        <v>278</v>
      </c>
      <c r="D116" s="311" t="s">
        <v>14</v>
      </c>
      <c r="E116" s="51">
        <v>1</v>
      </c>
      <c r="F116" s="30">
        <v>0</v>
      </c>
      <c r="G116" s="20">
        <v>0</v>
      </c>
      <c r="H116" s="187"/>
      <c r="I116" s="172"/>
      <c r="J116" s="15"/>
      <c r="K116" s="15"/>
      <c r="L116" s="15"/>
    </row>
    <row r="117" spans="2:12" ht="15.75" thickBot="1" x14ac:dyDescent="0.3">
      <c r="B117" s="54" t="s">
        <v>456</v>
      </c>
      <c r="C117" s="398" t="s">
        <v>17</v>
      </c>
      <c r="D117" s="398"/>
      <c r="E117" s="398"/>
      <c r="F117" s="398"/>
      <c r="G117" s="399"/>
      <c r="H117" s="16">
        <f>SUM(G118:G119)</f>
        <v>0</v>
      </c>
      <c r="I117" s="173">
        <v>0.02</v>
      </c>
      <c r="J117" s="15"/>
      <c r="K117" s="15"/>
      <c r="L117" s="15"/>
    </row>
    <row r="118" spans="2:12" x14ac:dyDescent="0.25">
      <c r="B118" s="179" t="s">
        <v>463</v>
      </c>
      <c r="C118" s="156" t="s">
        <v>18</v>
      </c>
      <c r="D118" s="302" t="s">
        <v>465</v>
      </c>
      <c r="E118" s="28">
        <v>6</v>
      </c>
      <c r="F118" s="30">
        <v>0</v>
      </c>
      <c r="G118" s="33">
        <f t="shared" ref="G118:G119" si="0">+F118*E118</f>
        <v>0</v>
      </c>
      <c r="H118" s="180"/>
      <c r="I118" s="168"/>
      <c r="J118" s="15"/>
      <c r="K118" s="15"/>
      <c r="L118" s="15"/>
    </row>
    <row r="119" spans="2:12" ht="15.75" thickBot="1" x14ac:dyDescent="0.3">
      <c r="B119" s="179" t="s">
        <v>531</v>
      </c>
      <c r="C119" s="158" t="s">
        <v>19</v>
      </c>
      <c r="D119" s="304" t="s">
        <v>15</v>
      </c>
      <c r="E119" s="24">
        <v>1</v>
      </c>
      <c r="F119" s="30">
        <v>0</v>
      </c>
      <c r="G119" s="33">
        <f t="shared" si="0"/>
        <v>0</v>
      </c>
      <c r="H119" s="181"/>
      <c r="I119" s="172"/>
      <c r="J119" s="15"/>
      <c r="K119" s="15"/>
      <c r="L119" s="15"/>
    </row>
    <row r="120" spans="2:12" ht="15.75" thickBot="1" x14ac:dyDescent="0.3">
      <c r="B120" s="54" t="s">
        <v>457</v>
      </c>
      <c r="C120" s="398" t="s">
        <v>44</v>
      </c>
      <c r="D120" s="398"/>
      <c r="E120" s="398"/>
      <c r="F120" s="398"/>
      <c r="G120" s="399"/>
      <c r="H120" s="16">
        <f>SUM(G121:G121)</f>
        <v>0</v>
      </c>
      <c r="I120" s="173"/>
      <c r="J120" s="15"/>
      <c r="K120" s="15"/>
      <c r="L120" s="15"/>
    </row>
    <row r="121" spans="2:12" ht="15.75" thickBot="1" x14ac:dyDescent="0.3">
      <c r="B121" s="336" t="s">
        <v>464</v>
      </c>
      <c r="C121" s="337" t="s">
        <v>421</v>
      </c>
      <c r="D121" s="338" t="s">
        <v>14</v>
      </c>
      <c r="E121" s="339">
        <v>3</v>
      </c>
      <c r="F121" s="340">
        <v>0</v>
      </c>
      <c r="G121" s="342">
        <v>0</v>
      </c>
      <c r="H121" s="343"/>
      <c r="I121" s="168"/>
      <c r="J121" s="15"/>
      <c r="K121" s="15"/>
      <c r="L121" s="15"/>
    </row>
    <row r="122" spans="2:12" ht="15.75" thickBot="1" x14ac:dyDescent="0.3">
      <c r="J122" s="15"/>
      <c r="K122" s="15"/>
      <c r="L122" s="15"/>
    </row>
    <row r="123" spans="2:12" ht="15.75" thickBot="1" x14ac:dyDescent="0.3">
      <c r="B123" s="54"/>
      <c r="C123" s="398" t="s">
        <v>32</v>
      </c>
      <c r="D123" s="398"/>
      <c r="E123" s="398"/>
      <c r="F123" s="398"/>
      <c r="G123" s="16"/>
    </row>
  </sheetData>
  <mergeCells count="33">
    <mergeCell ref="C123:F123"/>
    <mergeCell ref="C64:G64"/>
    <mergeCell ref="C75:G75"/>
    <mergeCell ref="C80:G80"/>
    <mergeCell ref="C89:G89"/>
    <mergeCell ref="C112:G112"/>
    <mergeCell ref="C117:G117"/>
    <mergeCell ref="C120:G120"/>
    <mergeCell ref="C107:G107"/>
    <mergeCell ref="C110:G110"/>
    <mergeCell ref="C52:G52"/>
    <mergeCell ref="C11:G11"/>
    <mergeCell ref="C13:G13"/>
    <mergeCell ref="C23:G23"/>
    <mergeCell ref="C27:G27"/>
    <mergeCell ref="C30:G30"/>
    <mergeCell ref="C33:G33"/>
    <mergeCell ref="C35:G35"/>
    <mergeCell ref="C39:G39"/>
    <mergeCell ref="C44:G44"/>
    <mergeCell ref="C47:G47"/>
    <mergeCell ref="C50:G50"/>
    <mergeCell ref="G5:G6"/>
    <mergeCell ref="H5:H6"/>
    <mergeCell ref="C7:G7"/>
    <mergeCell ref="C1:E1"/>
    <mergeCell ref="C2:E2"/>
    <mergeCell ref="C3:E3"/>
    <mergeCell ref="B5:B6"/>
    <mergeCell ref="C5:C6"/>
    <mergeCell ref="D5:D6"/>
    <mergeCell ref="E5:E6"/>
    <mergeCell ref="F5:F6"/>
  </mergeCells>
  <pageMargins left="0.23622047244094491" right="0.23622047244094491" top="0.35433070866141736" bottom="0.15748031496062992" header="0.31496062992125984" footer="0.31496062992125984"/>
  <pageSetup paperSize="9" scale="60" fitToHeight="0"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151"/>
  <sheetViews>
    <sheetView tabSelected="1" topLeftCell="A94" workbookViewId="0">
      <selection activeCell="H157" sqref="H157"/>
    </sheetView>
  </sheetViews>
  <sheetFormatPr baseColWidth="10" defaultRowHeight="15" x14ac:dyDescent="0.25"/>
  <cols>
    <col min="1" max="1" width="6.140625" customWidth="1"/>
    <col min="5" max="5" width="10.28515625" customWidth="1"/>
    <col min="7" max="7" width="12.5703125" customWidth="1"/>
    <col min="8" max="8" width="15.140625" customWidth="1"/>
  </cols>
  <sheetData>
    <row r="1" spans="2:8" x14ac:dyDescent="0.25">
      <c r="B1" s="448" t="s">
        <v>595</v>
      </c>
      <c r="C1" s="448"/>
      <c r="D1" s="448"/>
      <c r="E1" s="448"/>
      <c r="F1" s="448"/>
      <c r="G1" s="448"/>
      <c r="H1" s="448"/>
    </row>
    <row r="3" spans="2:8" x14ac:dyDescent="0.25">
      <c r="B3" s="449" t="s">
        <v>596</v>
      </c>
      <c r="C3" s="449"/>
      <c r="D3" s="449"/>
      <c r="E3" s="449"/>
      <c r="F3" s="449"/>
      <c r="G3" s="449"/>
      <c r="H3" s="449"/>
    </row>
    <row r="4" spans="2:8" x14ac:dyDescent="0.25">
      <c r="B4" s="365"/>
    </row>
    <row r="6" spans="2:8" x14ac:dyDescent="0.25">
      <c r="B6" s="450" t="s">
        <v>597</v>
      </c>
      <c r="C6" s="450"/>
      <c r="D6" s="450"/>
      <c r="E6" s="450"/>
      <c r="F6" s="450"/>
      <c r="G6" s="450"/>
      <c r="H6" s="450"/>
    </row>
    <row r="8" spans="2:8" x14ac:dyDescent="0.25">
      <c r="B8" s="366"/>
      <c r="C8" s="451" t="s">
        <v>598</v>
      </c>
      <c r="D8" s="452"/>
      <c r="E8" s="452"/>
      <c r="F8" s="452"/>
      <c r="G8" s="453"/>
    </row>
    <row r="9" spans="2:8" x14ac:dyDescent="0.25">
      <c r="B9" s="366"/>
      <c r="C9" s="454"/>
      <c r="D9" s="455"/>
      <c r="E9" s="455"/>
      <c r="F9" s="455"/>
      <c r="G9" s="456"/>
    </row>
    <row r="11" spans="2:8" x14ac:dyDescent="0.25">
      <c r="B11" s="367" t="s">
        <v>599</v>
      </c>
      <c r="C11" s="368"/>
      <c r="D11" s="368"/>
      <c r="E11" s="368"/>
      <c r="F11" s="368"/>
      <c r="G11" s="368"/>
      <c r="H11" s="368"/>
    </row>
    <row r="12" spans="2:8" ht="31.5" customHeight="1" x14ac:dyDescent="0.25">
      <c r="B12" s="369" t="s">
        <v>600</v>
      </c>
      <c r="C12" s="457" t="s">
        <v>601</v>
      </c>
      <c r="D12" s="457"/>
      <c r="E12" s="457"/>
      <c r="F12" s="457"/>
      <c r="G12" s="457"/>
      <c r="H12" s="457"/>
    </row>
    <row r="13" spans="2:8" ht="31.5" customHeight="1" x14ac:dyDescent="0.25">
      <c r="B13" s="369" t="s">
        <v>602</v>
      </c>
      <c r="C13" s="434" t="s">
        <v>603</v>
      </c>
      <c r="D13" s="434"/>
      <c r="E13" s="434"/>
      <c r="F13" s="434"/>
      <c r="G13" s="434"/>
      <c r="H13" s="434"/>
    </row>
    <row r="14" spans="2:8" ht="31.5" customHeight="1" x14ac:dyDescent="0.25">
      <c r="B14" s="369" t="s">
        <v>604</v>
      </c>
      <c r="C14" s="434" t="s">
        <v>605</v>
      </c>
      <c r="D14" s="434"/>
      <c r="E14" s="434"/>
      <c r="F14" s="434"/>
      <c r="G14" s="434"/>
      <c r="H14" s="434"/>
    </row>
    <row r="15" spans="2:8" ht="31.5" customHeight="1" x14ac:dyDescent="0.25">
      <c r="B15" s="369" t="s">
        <v>606</v>
      </c>
      <c r="C15" s="434" t="s">
        <v>607</v>
      </c>
      <c r="D15" s="434"/>
      <c r="E15" s="434"/>
      <c r="F15" s="434"/>
      <c r="G15" s="434"/>
      <c r="H15" s="434"/>
    </row>
    <row r="16" spans="2:8" ht="11.25" customHeight="1" x14ac:dyDescent="0.25">
      <c r="B16" s="435" t="s">
        <v>608</v>
      </c>
      <c r="C16" s="438" t="s">
        <v>609</v>
      </c>
      <c r="D16" s="438"/>
      <c r="E16" s="438"/>
      <c r="F16" s="438"/>
      <c r="G16" s="438"/>
      <c r="H16" s="438"/>
    </row>
    <row r="17" spans="2:8" ht="31.5" customHeight="1" x14ac:dyDescent="0.25">
      <c r="B17" s="436"/>
      <c r="C17" s="439"/>
      <c r="D17" s="439"/>
      <c r="E17" s="439"/>
      <c r="F17" s="439"/>
      <c r="G17" s="439"/>
      <c r="H17" s="439"/>
    </row>
    <row r="18" spans="2:8" ht="15" customHeight="1" x14ac:dyDescent="0.25">
      <c r="B18" s="437"/>
      <c r="C18" s="440"/>
      <c r="D18" s="440"/>
      <c r="E18" s="440"/>
      <c r="F18" s="440"/>
      <c r="G18" s="440"/>
      <c r="H18" s="440"/>
    </row>
    <row r="19" spans="2:8" x14ac:dyDescent="0.25">
      <c r="B19" s="4"/>
      <c r="C19" s="370"/>
      <c r="D19" s="371"/>
      <c r="E19" s="371"/>
      <c r="F19" s="371"/>
      <c r="G19" s="371"/>
      <c r="H19" s="371"/>
    </row>
    <row r="20" spans="2:8" x14ac:dyDescent="0.25">
      <c r="B20" s="161" t="s">
        <v>610</v>
      </c>
    </row>
    <row r="22" spans="2:8" x14ac:dyDescent="0.25">
      <c r="C22" s="441" t="s">
        <v>611</v>
      </c>
      <c r="D22" s="435"/>
      <c r="E22" s="435"/>
      <c r="F22" s="435"/>
      <c r="G22" s="442"/>
    </row>
    <row r="23" spans="2:8" x14ac:dyDescent="0.25">
      <c r="C23" s="443"/>
      <c r="D23" s="436"/>
      <c r="E23" s="436"/>
      <c r="F23" s="436"/>
      <c r="G23" s="444"/>
    </row>
    <row r="24" spans="2:8" x14ac:dyDescent="0.25">
      <c r="C24" s="445"/>
      <c r="D24" s="437"/>
      <c r="E24" s="437"/>
      <c r="F24" s="437"/>
      <c r="G24" s="446"/>
    </row>
    <row r="25" spans="2:8" x14ac:dyDescent="0.25">
      <c r="C25" s="4"/>
    </row>
    <row r="26" spans="2:8" x14ac:dyDescent="0.25">
      <c r="B26" s="372" t="s">
        <v>599</v>
      </c>
    </row>
    <row r="27" spans="2:8" x14ac:dyDescent="0.25">
      <c r="B27" s="373"/>
      <c r="C27" s="368"/>
      <c r="D27" s="368"/>
      <c r="E27" s="368"/>
      <c r="F27" s="368"/>
      <c r="G27" s="368"/>
      <c r="H27" s="368"/>
    </row>
    <row r="28" spans="2:8" ht="27" customHeight="1" x14ac:dyDescent="0.25">
      <c r="B28" s="436" t="s">
        <v>612</v>
      </c>
      <c r="C28" s="447" t="s">
        <v>613</v>
      </c>
      <c r="D28" s="447"/>
      <c r="E28" s="447"/>
      <c r="F28" s="447"/>
      <c r="G28" s="447"/>
      <c r="H28" s="447"/>
    </row>
    <row r="29" spans="2:8" ht="27" customHeight="1" x14ac:dyDescent="0.25">
      <c r="B29" s="437"/>
      <c r="C29" s="440" t="s">
        <v>614</v>
      </c>
      <c r="D29" s="440"/>
      <c r="E29" s="440"/>
      <c r="F29" s="440"/>
      <c r="G29" s="440"/>
      <c r="H29" s="440"/>
    </row>
    <row r="30" spans="2:8" ht="24" customHeight="1" x14ac:dyDescent="0.25">
      <c r="B30" s="436" t="s">
        <v>615</v>
      </c>
      <c r="C30" s="447" t="s">
        <v>616</v>
      </c>
      <c r="D30" s="447"/>
      <c r="E30" s="447"/>
      <c r="F30" s="447"/>
      <c r="G30" s="447"/>
      <c r="H30" s="447"/>
    </row>
    <row r="31" spans="2:8" ht="24" customHeight="1" x14ac:dyDescent="0.25">
      <c r="B31" s="437"/>
      <c r="C31" s="440" t="s">
        <v>617</v>
      </c>
      <c r="D31" s="440"/>
      <c r="E31" s="440"/>
      <c r="F31" s="440"/>
      <c r="G31" s="440"/>
      <c r="H31" s="440"/>
    </row>
    <row r="32" spans="2:8" ht="24" customHeight="1" x14ac:dyDescent="0.25">
      <c r="B32" s="436" t="s">
        <v>618</v>
      </c>
      <c r="C32" s="447" t="s">
        <v>619</v>
      </c>
      <c r="D32" s="447"/>
      <c r="E32" s="447"/>
      <c r="F32" s="447"/>
      <c r="G32" s="447"/>
      <c r="H32" s="447"/>
    </row>
    <row r="33" spans="2:8" ht="24" customHeight="1" x14ac:dyDescent="0.25">
      <c r="B33" s="437"/>
      <c r="C33" s="440" t="s">
        <v>620</v>
      </c>
      <c r="D33" s="440"/>
      <c r="E33" s="440"/>
      <c r="F33" s="440"/>
      <c r="G33" s="440"/>
      <c r="H33" s="440"/>
    </row>
    <row r="34" spans="2:8" ht="24" customHeight="1" x14ac:dyDescent="0.25">
      <c r="B34" s="436" t="s">
        <v>621</v>
      </c>
      <c r="C34" s="447" t="s">
        <v>622</v>
      </c>
      <c r="D34" s="447"/>
      <c r="E34" s="447"/>
      <c r="F34" s="447"/>
      <c r="G34" s="447"/>
      <c r="H34" s="447"/>
    </row>
    <row r="35" spans="2:8" ht="24" customHeight="1" x14ac:dyDescent="0.25">
      <c r="B35" s="437"/>
      <c r="C35" s="440" t="s">
        <v>623</v>
      </c>
      <c r="D35" s="440"/>
      <c r="E35" s="440"/>
      <c r="F35" s="440"/>
      <c r="G35" s="440"/>
      <c r="H35" s="440"/>
    </row>
    <row r="36" spans="2:8" ht="24" customHeight="1" x14ac:dyDescent="0.25">
      <c r="B36" s="436" t="s">
        <v>624</v>
      </c>
      <c r="C36" s="447" t="s">
        <v>625</v>
      </c>
      <c r="D36" s="447"/>
      <c r="E36" s="447"/>
      <c r="F36" s="447"/>
      <c r="G36" s="447"/>
      <c r="H36" s="447"/>
    </row>
    <row r="37" spans="2:8" ht="28.5" customHeight="1" x14ac:dyDescent="0.25">
      <c r="B37" s="437"/>
      <c r="C37" s="440" t="s">
        <v>626</v>
      </c>
      <c r="D37" s="440"/>
      <c r="E37" s="440"/>
      <c r="F37" s="440"/>
      <c r="G37" s="440"/>
      <c r="H37" s="440"/>
    </row>
    <row r="38" spans="2:8" ht="24" customHeight="1" x14ac:dyDescent="0.25">
      <c r="B38" s="436" t="s">
        <v>627</v>
      </c>
      <c r="C38" s="447" t="s">
        <v>628</v>
      </c>
      <c r="D38" s="447"/>
      <c r="E38" s="447"/>
      <c r="F38" s="447"/>
      <c r="G38" s="447"/>
      <c r="H38" s="447"/>
    </row>
    <row r="39" spans="2:8" ht="41.25" customHeight="1" x14ac:dyDescent="0.25">
      <c r="B39" s="437"/>
      <c r="C39" s="440" t="s">
        <v>629</v>
      </c>
      <c r="D39" s="440"/>
      <c r="E39" s="440"/>
      <c r="F39" s="440"/>
      <c r="G39" s="440"/>
      <c r="H39" s="440"/>
    </row>
    <row r="40" spans="2:8" x14ac:dyDescent="0.25">
      <c r="B40" s="374"/>
      <c r="C40" s="375"/>
      <c r="D40" s="375"/>
      <c r="E40" s="375"/>
      <c r="F40" s="375"/>
      <c r="G40" s="375"/>
      <c r="H40" s="375"/>
    </row>
    <row r="41" spans="2:8" x14ac:dyDescent="0.25">
      <c r="B41" s="436" t="s">
        <v>630</v>
      </c>
      <c r="C41" s="447" t="s">
        <v>631</v>
      </c>
      <c r="D41" s="447"/>
      <c r="E41" s="447"/>
      <c r="F41" s="447"/>
      <c r="G41" s="447"/>
      <c r="H41" s="447"/>
    </row>
    <row r="42" spans="2:8" x14ac:dyDescent="0.25">
      <c r="B42" s="436"/>
      <c r="C42" s="458" t="s">
        <v>632</v>
      </c>
      <c r="D42" s="458"/>
      <c r="E42" s="458"/>
      <c r="F42" s="458"/>
      <c r="G42" s="458"/>
      <c r="H42" s="458"/>
    </row>
    <row r="43" spans="2:8" ht="18.75" x14ac:dyDescent="0.25">
      <c r="B43" s="437"/>
      <c r="C43" s="459" t="s">
        <v>633</v>
      </c>
      <c r="D43" s="459"/>
      <c r="E43" s="459"/>
      <c r="F43" s="459" t="s">
        <v>633</v>
      </c>
      <c r="G43" s="459"/>
      <c r="H43" s="459"/>
    </row>
    <row r="44" spans="2:8" ht="42" customHeight="1" x14ac:dyDescent="0.25">
      <c r="B44" s="436" t="s">
        <v>634</v>
      </c>
      <c r="C44" s="447" t="s">
        <v>635</v>
      </c>
      <c r="D44" s="447"/>
      <c r="E44" s="447"/>
      <c r="F44" s="447"/>
      <c r="G44" s="447"/>
      <c r="H44" s="447"/>
    </row>
    <row r="45" spans="2:8" ht="42" customHeight="1" x14ac:dyDescent="0.25">
      <c r="B45" s="437"/>
      <c r="C45" s="440" t="s">
        <v>636</v>
      </c>
      <c r="D45" s="440"/>
      <c r="E45" s="440"/>
      <c r="F45" s="440"/>
      <c r="G45" s="440"/>
      <c r="H45" s="440"/>
    </row>
    <row r="46" spans="2:8" ht="42" customHeight="1" x14ac:dyDescent="0.25">
      <c r="B46" s="376" t="s">
        <v>637</v>
      </c>
      <c r="C46" s="434" t="s">
        <v>638</v>
      </c>
      <c r="D46" s="434"/>
      <c r="E46" s="434"/>
      <c r="F46" s="434"/>
      <c r="G46" s="434"/>
      <c r="H46" s="434"/>
    </row>
    <row r="47" spans="2:8" ht="42" customHeight="1" x14ac:dyDescent="0.25">
      <c r="B47" s="377" t="s">
        <v>639</v>
      </c>
      <c r="C47" s="434" t="s">
        <v>640</v>
      </c>
      <c r="D47" s="434"/>
      <c r="E47" s="434"/>
      <c r="F47" s="434"/>
      <c r="G47" s="434"/>
      <c r="H47" s="434"/>
    </row>
    <row r="48" spans="2:8" ht="42" customHeight="1" x14ac:dyDescent="0.25">
      <c r="B48" s="377" t="s">
        <v>641</v>
      </c>
      <c r="C48" s="434" t="s">
        <v>642</v>
      </c>
      <c r="D48" s="434"/>
      <c r="E48" s="434"/>
      <c r="F48" s="434"/>
      <c r="G48" s="434"/>
      <c r="H48" s="434"/>
    </row>
    <row r="49" spans="2:8" x14ac:dyDescent="0.25">
      <c r="B49" s="374"/>
      <c r="C49" s="375"/>
      <c r="D49" s="375"/>
      <c r="E49" s="375"/>
      <c r="F49" s="375"/>
      <c r="G49" s="375"/>
      <c r="H49" s="375"/>
    </row>
    <row r="50" spans="2:8" x14ac:dyDescent="0.25">
      <c r="B50" s="462" t="s">
        <v>643</v>
      </c>
      <c r="C50" s="462"/>
      <c r="D50" s="462"/>
      <c r="E50" s="462"/>
      <c r="F50" s="462"/>
      <c r="G50" s="462"/>
      <c r="H50" s="462"/>
    </row>
    <row r="51" spans="2:8" x14ac:dyDescent="0.25">
      <c r="B51" s="378"/>
      <c r="C51" s="379"/>
      <c r="D51" s="379"/>
      <c r="E51" s="379"/>
      <c r="F51" s="379"/>
      <c r="G51" s="379"/>
      <c r="H51" s="378"/>
    </row>
    <row r="52" spans="2:8" x14ac:dyDescent="0.25">
      <c r="B52" s="380"/>
      <c r="C52" s="441" t="s">
        <v>644</v>
      </c>
      <c r="D52" s="435"/>
      <c r="E52" s="435"/>
      <c r="F52" s="435"/>
      <c r="G52" s="442"/>
    </row>
    <row r="53" spans="2:8" x14ac:dyDescent="0.25">
      <c r="B53" s="380"/>
      <c r="C53" s="443"/>
      <c r="D53" s="436"/>
      <c r="E53" s="436"/>
      <c r="F53" s="436"/>
      <c r="G53" s="444"/>
      <c r="H53" s="4"/>
    </row>
    <row r="54" spans="2:8" x14ac:dyDescent="0.25">
      <c r="B54" s="380"/>
      <c r="C54" s="445"/>
      <c r="D54" s="437"/>
      <c r="E54" s="437"/>
      <c r="F54" s="437"/>
      <c r="G54" s="446"/>
    </row>
    <row r="55" spans="2:8" x14ac:dyDescent="0.25">
      <c r="C55" s="381"/>
      <c r="D55" s="381"/>
      <c r="E55" s="381"/>
      <c r="F55" s="381"/>
      <c r="G55" s="381"/>
    </row>
    <row r="56" spans="2:8" x14ac:dyDescent="0.25">
      <c r="B56" s="372" t="s">
        <v>599</v>
      </c>
      <c r="C56" s="382"/>
      <c r="D56" s="382"/>
      <c r="E56" s="382"/>
      <c r="F56" s="382"/>
      <c r="G56" s="382"/>
    </row>
    <row r="57" spans="2:8" x14ac:dyDescent="0.25">
      <c r="B57" s="373"/>
      <c r="C57" s="368"/>
      <c r="D57" s="368"/>
      <c r="E57" s="368"/>
      <c r="F57" s="368"/>
      <c r="G57" s="368"/>
      <c r="H57" s="368"/>
    </row>
    <row r="58" spans="2:8" ht="26.25" customHeight="1" x14ac:dyDescent="0.25">
      <c r="B58" s="436" t="s">
        <v>645</v>
      </c>
      <c r="C58" s="447" t="s">
        <v>646</v>
      </c>
      <c r="D58" s="447"/>
      <c r="E58" s="447"/>
      <c r="F58" s="447"/>
      <c r="G58" s="447"/>
      <c r="H58" s="447"/>
    </row>
    <row r="59" spans="2:8" ht="26.25" customHeight="1" x14ac:dyDescent="0.25">
      <c r="B59" s="437"/>
      <c r="C59" s="440" t="s">
        <v>647</v>
      </c>
      <c r="D59" s="440"/>
      <c r="E59" s="440"/>
      <c r="F59" s="440"/>
      <c r="G59" s="440"/>
      <c r="H59" s="440"/>
    </row>
    <row r="60" spans="2:8" ht="26.25" customHeight="1" x14ac:dyDescent="0.25">
      <c r="B60" s="436" t="s">
        <v>648</v>
      </c>
      <c r="C60" s="447" t="s">
        <v>649</v>
      </c>
      <c r="D60" s="447"/>
      <c r="E60" s="447"/>
      <c r="F60" s="447"/>
      <c r="G60" s="447"/>
      <c r="H60" s="447"/>
    </row>
    <row r="61" spans="2:8" ht="26.25" customHeight="1" x14ac:dyDescent="0.25">
      <c r="B61" s="437"/>
      <c r="C61" s="440" t="s">
        <v>650</v>
      </c>
      <c r="D61" s="440"/>
      <c r="E61" s="440"/>
      <c r="F61" s="440"/>
      <c r="G61" s="440"/>
      <c r="H61" s="440"/>
    </row>
    <row r="62" spans="2:8" x14ac:dyDescent="0.25">
      <c r="B62" s="383"/>
      <c r="C62" s="384"/>
      <c r="D62" s="384"/>
      <c r="E62" s="384"/>
      <c r="F62" s="384"/>
      <c r="G62" s="384"/>
      <c r="H62" s="384"/>
    </row>
    <row r="63" spans="2:8" x14ac:dyDescent="0.25">
      <c r="B63" s="460" t="s">
        <v>651</v>
      </c>
      <c r="C63" s="460"/>
      <c r="D63" s="460"/>
      <c r="E63" s="460"/>
      <c r="F63" s="460"/>
      <c r="G63" s="460"/>
      <c r="H63" s="460"/>
    </row>
    <row r="65" spans="2:8" x14ac:dyDescent="0.25">
      <c r="B65" s="461" t="s">
        <v>652</v>
      </c>
      <c r="C65" s="461"/>
      <c r="D65" s="461"/>
      <c r="E65" s="461"/>
      <c r="F65" s="461"/>
      <c r="G65" s="461"/>
      <c r="H65" s="461"/>
    </row>
    <row r="66" spans="2:8" x14ac:dyDescent="0.25">
      <c r="B66" s="461"/>
      <c r="C66" s="461"/>
      <c r="D66" s="461"/>
      <c r="E66" s="461"/>
      <c r="F66" s="461"/>
      <c r="G66" s="461"/>
      <c r="H66" s="461"/>
    </row>
    <row r="67" spans="2:8" x14ac:dyDescent="0.25">
      <c r="C67" s="368"/>
      <c r="D67" s="368"/>
      <c r="E67" s="368"/>
      <c r="F67" s="368"/>
      <c r="G67" s="368"/>
    </row>
    <row r="68" spans="2:8" x14ac:dyDescent="0.25">
      <c r="B68" s="380"/>
      <c r="C68" s="441" t="s">
        <v>653</v>
      </c>
      <c r="D68" s="435"/>
      <c r="E68" s="435"/>
      <c r="F68" s="435"/>
      <c r="G68" s="442"/>
    </row>
    <row r="69" spans="2:8" x14ac:dyDescent="0.25">
      <c r="B69" s="380"/>
      <c r="C69" s="443"/>
      <c r="D69" s="436"/>
      <c r="E69" s="436"/>
      <c r="F69" s="436"/>
      <c r="G69" s="444"/>
    </row>
    <row r="70" spans="2:8" x14ac:dyDescent="0.25">
      <c r="B70" s="380"/>
      <c r="C70" s="445"/>
      <c r="D70" s="437"/>
      <c r="E70" s="437"/>
      <c r="F70" s="437"/>
      <c r="G70" s="446"/>
    </row>
    <row r="72" spans="2:8" x14ac:dyDescent="0.25">
      <c r="B72" s="372" t="s">
        <v>599</v>
      </c>
      <c r="C72" s="382"/>
      <c r="D72" s="382"/>
      <c r="E72" s="382"/>
      <c r="F72" s="382"/>
      <c r="G72" s="382"/>
    </row>
    <row r="73" spans="2:8" x14ac:dyDescent="0.25">
      <c r="B73" s="373"/>
      <c r="C73" s="368"/>
      <c r="D73" s="368"/>
      <c r="E73" s="368"/>
      <c r="F73" s="368"/>
      <c r="G73" s="368"/>
      <c r="H73" s="368"/>
    </row>
    <row r="74" spans="2:8" x14ac:dyDescent="0.25">
      <c r="B74" s="436" t="s">
        <v>654</v>
      </c>
      <c r="C74" s="447" t="s">
        <v>646</v>
      </c>
      <c r="D74" s="447"/>
      <c r="E74" s="447"/>
      <c r="F74" s="447"/>
      <c r="G74" s="447"/>
      <c r="H74" s="447"/>
    </row>
    <row r="75" spans="2:8" ht="23.25" customHeight="1" x14ac:dyDescent="0.25">
      <c r="B75" s="437"/>
      <c r="C75" s="440" t="s">
        <v>647</v>
      </c>
      <c r="D75" s="440"/>
      <c r="E75" s="440"/>
      <c r="F75" s="440"/>
      <c r="G75" s="440"/>
      <c r="H75" s="440"/>
    </row>
    <row r="76" spans="2:8" x14ac:dyDescent="0.25">
      <c r="B76" s="435" t="s">
        <v>618</v>
      </c>
      <c r="C76" s="473" t="s">
        <v>655</v>
      </c>
      <c r="D76" s="473"/>
      <c r="E76" s="473"/>
      <c r="F76" s="473"/>
      <c r="G76" s="473"/>
      <c r="H76" s="473"/>
    </row>
    <row r="77" spans="2:8" x14ac:dyDescent="0.25">
      <c r="B77" s="436"/>
      <c r="C77" s="439" t="s">
        <v>620</v>
      </c>
      <c r="D77" s="439"/>
      <c r="E77" s="439"/>
      <c r="F77" s="439"/>
      <c r="G77" s="439"/>
      <c r="H77" s="439"/>
    </row>
    <row r="78" spans="2:8" x14ac:dyDescent="0.25">
      <c r="B78" s="437"/>
      <c r="C78" s="440"/>
      <c r="D78" s="440"/>
      <c r="E78" s="440"/>
      <c r="F78" s="440"/>
      <c r="G78" s="440"/>
      <c r="H78" s="440"/>
    </row>
    <row r="79" spans="2:8" x14ac:dyDescent="0.25">
      <c r="B79" s="435" t="s">
        <v>656</v>
      </c>
      <c r="C79" s="474" t="s">
        <v>657</v>
      </c>
      <c r="D79" s="474"/>
      <c r="E79" s="474"/>
      <c r="F79" s="474"/>
      <c r="G79" s="474"/>
      <c r="H79" s="474"/>
    </row>
    <row r="80" spans="2:8" x14ac:dyDescent="0.25">
      <c r="B80" s="436"/>
      <c r="C80" s="475"/>
      <c r="D80" s="475"/>
      <c r="E80" s="475"/>
      <c r="F80" s="475"/>
      <c r="G80" s="475"/>
      <c r="H80" s="475"/>
    </row>
    <row r="81" spans="2:10" x14ac:dyDescent="0.25">
      <c r="B81" s="436"/>
      <c r="C81" s="439" t="s">
        <v>658</v>
      </c>
      <c r="D81" s="439"/>
      <c r="E81" s="439"/>
      <c r="F81" s="439"/>
      <c r="G81" s="439"/>
      <c r="H81" s="439"/>
    </row>
    <row r="82" spans="2:10" x14ac:dyDescent="0.25">
      <c r="B82" s="436"/>
      <c r="C82" s="439"/>
      <c r="D82" s="439"/>
      <c r="E82" s="439"/>
      <c r="F82" s="439"/>
      <c r="G82" s="439"/>
      <c r="H82" s="439"/>
    </row>
    <row r="83" spans="2:10" x14ac:dyDescent="0.25">
      <c r="B83" s="437"/>
      <c r="C83" s="440"/>
      <c r="D83" s="440"/>
      <c r="E83" s="440"/>
      <c r="F83" s="440"/>
      <c r="G83" s="440"/>
      <c r="H83" s="440"/>
    </row>
    <row r="86" spans="2:10" x14ac:dyDescent="0.25">
      <c r="B86" s="449" t="s">
        <v>659</v>
      </c>
      <c r="C86" s="449"/>
      <c r="D86" s="449"/>
      <c r="E86" s="449"/>
      <c r="F86" s="449"/>
      <c r="G86" s="449"/>
      <c r="H86" s="449"/>
    </row>
    <row r="88" spans="2:10" ht="15.75" thickBot="1" x14ac:dyDescent="0.3"/>
    <row r="89" spans="2:10" ht="15.75" thickBot="1" x14ac:dyDescent="0.3">
      <c r="B89" s="463" t="s">
        <v>660</v>
      </c>
      <c r="C89" s="464"/>
      <c r="D89" s="464"/>
      <c r="E89" s="464"/>
      <c r="F89" s="464"/>
      <c r="G89" s="464"/>
      <c r="H89" s="465"/>
    </row>
    <row r="90" spans="2:10" x14ac:dyDescent="0.25">
      <c r="B90" s="466" t="s">
        <v>661</v>
      </c>
      <c r="C90" s="437"/>
      <c r="D90" s="437"/>
      <c r="E90" s="385" t="s">
        <v>662</v>
      </c>
      <c r="F90" s="445" t="s">
        <v>663</v>
      </c>
      <c r="G90" s="437"/>
      <c r="H90" s="467"/>
    </row>
    <row r="91" spans="2:10" x14ac:dyDescent="0.25">
      <c r="B91" s="468" t="s">
        <v>664</v>
      </c>
      <c r="C91" s="469"/>
      <c r="D91" s="469"/>
      <c r="E91" s="386">
        <v>0.48</v>
      </c>
      <c r="F91" s="470" t="s">
        <v>665</v>
      </c>
      <c r="G91" s="471"/>
      <c r="H91" s="472"/>
      <c r="J91" s="364"/>
    </row>
    <row r="92" spans="2:10" x14ac:dyDescent="0.25">
      <c r="B92" s="468" t="s">
        <v>666</v>
      </c>
      <c r="C92" s="469"/>
      <c r="D92" s="469"/>
      <c r="E92" s="386">
        <v>0</v>
      </c>
      <c r="F92" s="470" t="s">
        <v>667</v>
      </c>
      <c r="G92" s="471"/>
      <c r="H92" s="472"/>
      <c r="J92" s="364"/>
    </row>
    <row r="93" spans="2:10" x14ac:dyDescent="0.25">
      <c r="B93" s="476" t="s">
        <v>668</v>
      </c>
      <c r="C93" s="477"/>
      <c r="D93" s="478"/>
      <c r="E93" s="485">
        <v>0.52</v>
      </c>
      <c r="F93" s="488" t="s">
        <v>669</v>
      </c>
      <c r="G93" s="477"/>
      <c r="H93" s="489"/>
      <c r="J93" s="364"/>
    </row>
    <row r="94" spans="2:10" x14ac:dyDescent="0.25">
      <c r="B94" s="479"/>
      <c r="C94" s="480"/>
      <c r="D94" s="481"/>
      <c r="E94" s="486"/>
      <c r="F94" s="490"/>
      <c r="G94" s="480"/>
      <c r="H94" s="491"/>
      <c r="J94" s="364"/>
    </row>
    <row r="95" spans="2:10" x14ac:dyDescent="0.25">
      <c r="B95" s="479"/>
      <c r="C95" s="480"/>
      <c r="D95" s="481"/>
      <c r="E95" s="486"/>
      <c r="F95" s="490"/>
      <c r="G95" s="480"/>
      <c r="H95" s="491"/>
      <c r="J95" s="364"/>
    </row>
    <row r="96" spans="2:10" x14ac:dyDescent="0.25">
      <c r="B96" s="498"/>
      <c r="C96" s="471"/>
      <c r="D96" s="499"/>
      <c r="E96" s="500"/>
      <c r="F96" s="470"/>
      <c r="G96" s="471"/>
      <c r="H96" s="472"/>
    </row>
    <row r="97" spans="2:16" x14ac:dyDescent="0.25">
      <c r="B97" s="476" t="s">
        <v>670</v>
      </c>
      <c r="C97" s="477"/>
      <c r="D97" s="478"/>
      <c r="E97" s="485">
        <v>0</v>
      </c>
      <c r="F97" s="488" t="s">
        <v>671</v>
      </c>
      <c r="G97" s="477"/>
      <c r="H97" s="489"/>
    </row>
    <row r="98" spans="2:16" x14ac:dyDescent="0.25">
      <c r="B98" s="479"/>
      <c r="C98" s="480"/>
      <c r="D98" s="481"/>
      <c r="E98" s="486"/>
      <c r="F98" s="490"/>
      <c r="G98" s="480"/>
      <c r="H98" s="491"/>
    </row>
    <row r="99" spans="2:16" x14ac:dyDescent="0.25">
      <c r="B99" s="498"/>
      <c r="C99" s="471"/>
      <c r="D99" s="499"/>
      <c r="E99" s="486"/>
      <c r="F99" s="470"/>
      <c r="G99" s="471"/>
      <c r="H99" s="472"/>
    </row>
    <row r="100" spans="2:16" x14ac:dyDescent="0.25">
      <c r="B100" s="476" t="s">
        <v>672</v>
      </c>
      <c r="C100" s="477"/>
      <c r="D100" s="478"/>
      <c r="E100" s="485">
        <v>0</v>
      </c>
      <c r="F100" s="488" t="s">
        <v>673</v>
      </c>
      <c r="G100" s="477"/>
      <c r="H100" s="489"/>
    </row>
    <row r="101" spans="2:16" x14ac:dyDescent="0.25">
      <c r="B101" s="479"/>
      <c r="C101" s="480"/>
      <c r="D101" s="481"/>
      <c r="E101" s="486"/>
      <c r="F101" s="490"/>
      <c r="G101" s="480"/>
      <c r="H101" s="491"/>
    </row>
    <row r="102" spans="2:16" x14ac:dyDescent="0.25">
      <c r="B102" s="479"/>
      <c r="C102" s="480"/>
      <c r="D102" s="481"/>
      <c r="E102" s="486"/>
      <c r="F102" s="490"/>
      <c r="G102" s="480"/>
      <c r="H102" s="491"/>
    </row>
    <row r="103" spans="2:16" ht="15.75" thickBot="1" x14ac:dyDescent="0.3">
      <c r="B103" s="482"/>
      <c r="C103" s="483"/>
      <c r="D103" s="484"/>
      <c r="E103" s="487"/>
      <c r="F103" s="492"/>
      <c r="G103" s="483"/>
      <c r="H103" s="493"/>
    </row>
    <row r="105" spans="2:16" ht="15.75" thickBot="1" x14ac:dyDescent="0.3"/>
    <row r="106" spans="2:16" ht="16.5" thickBot="1" x14ac:dyDescent="0.3">
      <c r="B106" s="463" t="s">
        <v>674</v>
      </c>
      <c r="C106" s="464"/>
      <c r="D106" s="464"/>
      <c r="E106" s="464"/>
      <c r="F106" s="464"/>
      <c r="G106" s="464"/>
      <c r="H106" s="465"/>
      <c r="L106" s="360"/>
      <c r="M106" s="361"/>
      <c r="N106" s="362"/>
      <c r="O106" s="363"/>
      <c r="P106" s="360"/>
    </row>
    <row r="107" spans="2:16" ht="16.5" thickBot="1" x14ac:dyDescent="0.3">
      <c r="B107" s="494" t="s">
        <v>675</v>
      </c>
      <c r="C107" s="495"/>
      <c r="D107" s="495"/>
      <c r="E107" s="387" t="s">
        <v>676</v>
      </c>
      <c r="F107" s="496" t="s">
        <v>663</v>
      </c>
      <c r="G107" s="495"/>
      <c r="H107" s="497"/>
      <c r="L107" s="360"/>
      <c r="M107" s="361"/>
      <c r="N107" s="360"/>
      <c r="O107" s="363"/>
      <c r="P107" s="360"/>
    </row>
    <row r="108" spans="2:16" ht="32.25" customHeight="1" x14ac:dyDescent="0.25">
      <c r="B108" s="507" t="s">
        <v>587</v>
      </c>
      <c r="C108" s="508"/>
      <c r="D108" s="508"/>
      <c r="E108" s="388">
        <v>0.25</v>
      </c>
      <c r="F108" s="508" t="s">
        <v>591</v>
      </c>
      <c r="G108" s="508"/>
      <c r="H108" s="509"/>
      <c r="I108" s="389"/>
    </row>
    <row r="109" spans="2:16" ht="32.25" customHeight="1" x14ac:dyDescent="0.25">
      <c r="B109" s="510" t="s">
        <v>594</v>
      </c>
      <c r="C109" s="511"/>
      <c r="D109" s="511"/>
      <c r="E109" s="390">
        <v>0.22</v>
      </c>
      <c r="F109" s="511" t="s">
        <v>592</v>
      </c>
      <c r="G109" s="511"/>
      <c r="H109" s="512"/>
      <c r="I109" s="389"/>
    </row>
    <row r="110" spans="2:16" ht="32.25" customHeight="1" x14ac:dyDescent="0.25">
      <c r="B110" s="510" t="s">
        <v>588</v>
      </c>
      <c r="C110" s="511"/>
      <c r="D110" s="511"/>
      <c r="E110" s="390">
        <v>0.19</v>
      </c>
      <c r="F110" s="511" t="s">
        <v>694</v>
      </c>
      <c r="G110" s="511"/>
      <c r="H110" s="512"/>
      <c r="I110" s="389"/>
    </row>
    <row r="111" spans="2:16" ht="32.25" customHeight="1" x14ac:dyDescent="0.25">
      <c r="B111" s="510" t="s">
        <v>589</v>
      </c>
      <c r="C111" s="511"/>
      <c r="D111" s="511"/>
      <c r="E111" s="390">
        <v>0.12</v>
      </c>
      <c r="F111" s="511" t="s">
        <v>695</v>
      </c>
      <c r="G111" s="511"/>
      <c r="H111" s="512"/>
      <c r="I111" s="389"/>
    </row>
    <row r="112" spans="2:16" ht="32.25" customHeight="1" x14ac:dyDescent="0.25">
      <c r="B112" s="510" t="s">
        <v>693</v>
      </c>
      <c r="C112" s="511"/>
      <c r="D112" s="511"/>
      <c r="E112" s="390">
        <v>0.11</v>
      </c>
      <c r="F112" s="511" t="s">
        <v>593</v>
      </c>
      <c r="G112" s="511"/>
      <c r="H112" s="512"/>
      <c r="I112" s="389"/>
    </row>
    <row r="113" spans="2:16" ht="32.25" customHeight="1" thickBot="1" x14ac:dyDescent="0.3">
      <c r="B113" s="501" t="s">
        <v>590</v>
      </c>
      <c r="C113" s="502"/>
      <c r="D113" s="502"/>
      <c r="E113" s="391">
        <v>0.11</v>
      </c>
      <c r="F113" s="502" t="s">
        <v>677</v>
      </c>
      <c r="G113" s="502"/>
      <c r="H113" s="503"/>
      <c r="I113" s="389"/>
      <c r="L113" s="360"/>
      <c r="M113" s="361"/>
      <c r="N113" s="362"/>
      <c r="O113" s="363"/>
      <c r="P113" s="360"/>
    </row>
    <row r="114" spans="2:16" ht="16.5" thickBot="1" x14ac:dyDescent="0.3">
      <c r="E114" s="392"/>
      <c r="I114" s="389"/>
      <c r="L114" s="360"/>
      <c r="M114" s="361"/>
      <c r="N114" s="362"/>
      <c r="O114" s="363"/>
      <c r="P114" s="360"/>
    </row>
    <row r="115" spans="2:16" ht="16.5" thickBot="1" x14ac:dyDescent="0.3">
      <c r="B115" s="463" t="s">
        <v>678</v>
      </c>
      <c r="C115" s="464"/>
      <c r="D115" s="464"/>
      <c r="E115" s="464"/>
      <c r="F115" s="464"/>
      <c r="G115" s="464"/>
      <c r="H115" s="465"/>
      <c r="L115" s="360"/>
      <c r="M115" s="361"/>
      <c r="N115" s="362"/>
      <c r="O115" s="363"/>
      <c r="P115" s="360"/>
    </row>
    <row r="116" spans="2:16" ht="15.75" x14ac:dyDescent="0.25">
      <c r="B116" s="466" t="s">
        <v>679</v>
      </c>
      <c r="C116" s="437"/>
      <c r="D116" s="437"/>
      <c r="E116" s="504" t="s">
        <v>663</v>
      </c>
      <c r="F116" s="505"/>
      <c r="G116" s="505"/>
      <c r="H116" s="506"/>
      <c r="L116" s="360"/>
      <c r="M116" s="361"/>
      <c r="N116" s="362"/>
      <c r="O116" s="363"/>
      <c r="P116" s="360"/>
    </row>
    <row r="117" spans="2:16" ht="15.75" x14ac:dyDescent="0.25">
      <c r="B117" s="476" t="s">
        <v>680</v>
      </c>
      <c r="C117" s="477"/>
      <c r="D117" s="478"/>
      <c r="E117" s="488" t="s">
        <v>681</v>
      </c>
      <c r="F117" s="477"/>
      <c r="G117" s="477"/>
      <c r="H117" s="489"/>
      <c r="L117" s="360"/>
      <c r="M117" s="361"/>
      <c r="N117" s="362"/>
      <c r="O117" s="363"/>
      <c r="P117" s="360"/>
    </row>
    <row r="118" spans="2:16" ht="15.75" x14ac:dyDescent="0.25">
      <c r="B118" s="479"/>
      <c r="C118" s="480"/>
      <c r="D118" s="481"/>
      <c r="E118" s="490"/>
      <c r="F118" s="480"/>
      <c r="G118" s="480"/>
      <c r="H118" s="491"/>
      <c r="L118" s="360"/>
      <c r="M118" s="361"/>
      <c r="N118" s="362"/>
      <c r="O118" s="363"/>
      <c r="P118" s="360"/>
    </row>
    <row r="119" spans="2:16" ht="57" customHeight="1" x14ac:dyDescent="0.25">
      <c r="B119" s="479"/>
      <c r="C119" s="480"/>
      <c r="D119" s="481"/>
      <c r="E119" s="470"/>
      <c r="F119" s="471"/>
      <c r="G119" s="471"/>
      <c r="H119" s="472"/>
    </row>
    <row r="120" spans="2:16" x14ac:dyDescent="0.25">
      <c r="B120" s="476" t="s">
        <v>668</v>
      </c>
      <c r="C120" s="477"/>
      <c r="D120" s="478"/>
      <c r="E120" s="488" t="s">
        <v>682</v>
      </c>
      <c r="F120" s="477"/>
      <c r="G120" s="477"/>
      <c r="H120" s="489"/>
    </row>
    <row r="121" spans="2:16" x14ac:dyDescent="0.25">
      <c r="B121" s="479"/>
      <c r="C121" s="480"/>
      <c r="D121" s="481"/>
      <c r="E121" s="490"/>
      <c r="F121" s="480"/>
      <c r="G121" s="480"/>
      <c r="H121" s="491"/>
    </row>
    <row r="122" spans="2:16" ht="18.75" customHeight="1" x14ac:dyDescent="0.25">
      <c r="B122" s="479"/>
      <c r="C122" s="480"/>
      <c r="D122" s="481"/>
      <c r="E122" s="470"/>
      <c r="F122" s="471"/>
      <c r="G122" s="471"/>
      <c r="H122" s="472"/>
    </row>
    <row r="123" spans="2:16" x14ac:dyDescent="0.25">
      <c r="B123" s="476" t="s">
        <v>683</v>
      </c>
      <c r="C123" s="477"/>
      <c r="D123" s="478"/>
      <c r="E123" s="488" t="s">
        <v>684</v>
      </c>
      <c r="F123" s="477"/>
      <c r="G123" s="477"/>
      <c r="H123" s="489"/>
    </row>
    <row r="124" spans="2:16" ht="15.75" thickBot="1" x14ac:dyDescent="0.3">
      <c r="B124" s="514" t="s">
        <v>685</v>
      </c>
      <c r="C124" s="515"/>
      <c r="D124" s="516"/>
      <c r="E124" s="517" t="s">
        <v>686</v>
      </c>
      <c r="F124" s="515"/>
      <c r="G124" s="515"/>
      <c r="H124" s="518"/>
    </row>
    <row r="127" spans="2:16" x14ac:dyDescent="0.25">
      <c r="B127" s="449" t="s">
        <v>687</v>
      </c>
      <c r="C127" s="449"/>
      <c r="D127" s="449"/>
      <c r="E127" s="449"/>
      <c r="F127" s="449"/>
      <c r="G127" s="449"/>
      <c r="H127" s="449"/>
    </row>
    <row r="129" spans="2:7" x14ac:dyDescent="0.25">
      <c r="C129" s="368"/>
      <c r="D129" s="368"/>
      <c r="E129" s="368"/>
      <c r="F129" s="368"/>
      <c r="G129" s="368"/>
    </row>
    <row r="130" spans="2:7" x14ac:dyDescent="0.25">
      <c r="B130" s="380"/>
      <c r="C130" s="441" t="s">
        <v>688</v>
      </c>
      <c r="D130" s="435"/>
      <c r="E130" s="435"/>
      <c r="F130" s="435"/>
      <c r="G130" s="442"/>
    </row>
    <row r="131" spans="2:7" x14ac:dyDescent="0.25">
      <c r="B131" s="380"/>
      <c r="C131" s="443"/>
      <c r="D131" s="436"/>
      <c r="E131" s="436"/>
      <c r="F131" s="436"/>
      <c r="G131" s="444"/>
    </row>
    <row r="132" spans="2:7" x14ac:dyDescent="0.25">
      <c r="B132" s="380"/>
      <c r="C132" s="445"/>
      <c r="D132" s="437"/>
      <c r="E132" s="437"/>
      <c r="F132" s="437"/>
      <c r="G132" s="446"/>
    </row>
    <row r="134" spans="2:7" x14ac:dyDescent="0.25">
      <c r="C134" s="368"/>
      <c r="D134" s="368"/>
      <c r="E134" s="368"/>
      <c r="F134" s="368"/>
      <c r="G134" s="368"/>
    </row>
    <row r="135" spans="2:7" x14ac:dyDescent="0.25">
      <c r="B135" s="380"/>
      <c r="C135" s="441" t="s">
        <v>689</v>
      </c>
      <c r="D135" s="435"/>
      <c r="E135" s="435"/>
      <c r="F135" s="435"/>
      <c r="G135" s="442"/>
    </row>
    <row r="136" spans="2:7" x14ac:dyDescent="0.25">
      <c r="B136" s="380"/>
      <c r="C136" s="443"/>
      <c r="D136" s="436"/>
      <c r="E136" s="436"/>
      <c r="F136" s="436"/>
      <c r="G136" s="444"/>
    </row>
    <row r="137" spans="2:7" x14ac:dyDescent="0.25">
      <c r="B137" s="380"/>
      <c r="C137" s="445"/>
      <c r="D137" s="437"/>
      <c r="E137" s="437"/>
      <c r="F137" s="437"/>
      <c r="G137" s="446"/>
    </row>
    <row r="139" spans="2:7" x14ac:dyDescent="0.25">
      <c r="C139" s="368"/>
      <c r="D139" s="368"/>
      <c r="E139" s="368"/>
      <c r="F139" s="368"/>
      <c r="G139" s="368"/>
    </row>
    <row r="140" spans="2:7" x14ac:dyDescent="0.25">
      <c r="B140" s="380"/>
      <c r="C140" s="441" t="s">
        <v>690</v>
      </c>
      <c r="D140" s="435"/>
      <c r="E140" s="435"/>
      <c r="F140" s="435"/>
      <c r="G140" s="442"/>
    </row>
    <row r="141" spans="2:7" x14ac:dyDescent="0.25">
      <c r="B141" s="380"/>
      <c r="C141" s="443"/>
      <c r="D141" s="436"/>
      <c r="E141" s="436"/>
      <c r="F141" s="436"/>
      <c r="G141" s="444"/>
    </row>
    <row r="142" spans="2:7" x14ac:dyDescent="0.25">
      <c r="B142" s="380"/>
      <c r="C142" s="445"/>
      <c r="D142" s="437"/>
      <c r="E142" s="437"/>
      <c r="F142" s="437"/>
      <c r="G142" s="446"/>
    </row>
    <row r="144" spans="2:7" x14ac:dyDescent="0.25">
      <c r="C144" s="368"/>
      <c r="D144" s="368"/>
      <c r="E144" s="368"/>
      <c r="F144" s="368"/>
      <c r="G144" s="368"/>
    </row>
    <row r="145" spans="2:8" x14ac:dyDescent="0.25">
      <c r="B145" s="380"/>
      <c r="C145" s="435" t="s">
        <v>691</v>
      </c>
      <c r="D145" s="435"/>
      <c r="E145" s="435"/>
      <c r="F145" s="435"/>
      <c r="G145" s="442"/>
    </row>
    <row r="146" spans="2:8" x14ac:dyDescent="0.25">
      <c r="B146" s="380"/>
      <c r="C146" s="437"/>
      <c r="D146" s="437"/>
      <c r="E146" s="437"/>
      <c r="F146" s="437"/>
      <c r="G146" s="446"/>
    </row>
    <row r="149" spans="2:8" x14ac:dyDescent="0.25">
      <c r="B149" s="513" t="s">
        <v>692</v>
      </c>
      <c r="C149" s="513"/>
      <c r="D149" s="513"/>
      <c r="E149" s="513"/>
      <c r="F149" s="513"/>
      <c r="G149" s="513"/>
      <c r="H149" s="513"/>
    </row>
    <row r="150" spans="2:8" x14ac:dyDescent="0.25">
      <c r="B150" s="513"/>
      <c r="C150" s="513"/>
      <c r="D150" s="513"/>
      <c r="E150" s="513"/>
      <c r="F150" s="513"/>
      <c r="G150" s="513"/>
      <c r="H150" s="513"/>
    </row>
    <row r="151" spans="2:8" x14ac:dyDescent="0.25">
      <c r="B151" s="513"/>
      <c r="C151" s="513"/>
      <c r="D151" s="513"/>
      <c r="E151" s="513"/>
      <c r="F151" s="513"/>
      <c r="G151" s="513"/>
      <c r="H151" s="513"/>
    </row>
  </sheetData>
  <mergeCells count="109">
    <mergeCell ref="B127:H127"/>
    <mergeCell ref="C130:G132"/>
    <mergeCell ref="C135:G137"/>
    <mergeCell ref="C140:G142"/>
    <mergeCell ref="C145:G146"/>
    <mergeCell ref="B149:H151"/>
    <mergeCell ref="B120:D122"/>
    <mergeCell ref="E120:H122"/>
    <mergeCell ref="B123:D123"/>
    <mergeCell ref="E123:H123"/>
    <mergeCell ref="B124:D124"/>
    <mergeCell ref="E124:H124"/>
    <mergeCell ref="B113:D113"/>
    <mergeCell ref="F113:H113"/>
    <mergeCell ref="B115:H115"/>
    <mergeCell ref="B116:D116"/>
    <mergeCell ref="E116:H116"/>
    <mergeCell ref="B117:D119"/>
    <mergeCell ref="E117:H119"/>
    <mergeCell ref="B108:D108"/>
    <mergeCell ref="F108:H108"/>
    <mergeCell ref="B109:D109"/>
    <mergeCell ref="F109:H109"/>
    <mergeCell ref="B112:D112"/>
    <mergeCell ref="F112:H112"/>
    <mergeCell ref="B110:D110"/>
    <mergeCell ref="F110:H110"/>
    <mergeCell ref="B111:D111"/>
    <mergeCell ref="F111:H111"/>
    <mergeCell ref="B100:D103"/>
    <mergeCell ref="E100:E103"/>
    <mergeCell ref="F100:H103"/>
    <mergeCell ref="B106:H106"/>
    <mergeCell ref="B107:D107"/>
    <mergeCell ref="F107:H107"/>
    <mergeCell ref="B92:D92"/>
    <mergeCell ref="F92:H92"/>
    <mergeCell ref="B93:D96"/>
    <mergeCell ref="E93:E96"/>
    <mergeCell ref="F93:H96"/>
    <mergeCell ref="B97:D99"/>
    <mergeCell ref="E97:E99"/>
    <mergeCell ref="F97:H99"/>
    <mergeCell ref="B86:H86"/>
    <mergeCell ref="B89:H89"/>
    <mergeCell ref="B90:D90"/>
    <mergeCell ref="F90:H90"/>
    <mergeCell ref="B91:D91"/>
    <mergeCell ref="F91:H91"/>
    <mergeCell ref="B76:B78"/>
    <mergeCell ref="C76:H76"/>
    <mergeCell ref="C77:H78"/>
    <mergeCell ref="B79:B83"/>
    <mergeCell ref="C79:H80"/>
    <mergeCell ref="C81:H83"/>
    <mergeCell ref="B63:H63"/>
    <mergeCell ref="B65:H66"/>
    <mergeCell ref="C68:G70"/>
    <mergeCell ref="B74:B75"/>
    <mergeCell ref="C74:H74"/>
    <mergeCell ref="C75:H75"/>
    <mergeCell ref="B50:H50"/>
    <mergeCell ref="C52:G54"/>
    <mergeCell ref="B58:B59"/>
    <mergeCell ref="C58:H58"/>
    <mergeCell ref="C59:H59"/>
    <mergeCell ref="B60:B61"/>
    <mergeCell ref="C60:H60"/>
    <mergeCell ref="C61:H61"/>
    <mergeCell ref="B44:B45"/>
    <mergeCell ref="C44:H44"/>
    <mergeCell ref="C45:H45"/>
    <mergeCell ref="C46:H46"/>
    <mergeCell ref="C47:H47"/>
    <mergeCell ref="C48:H48"/>
    <mergeCell ref="B38:B39"/>
    <mergeCell ref="C38:H38"/>
    <mergeCell ref="C39:H39"/>
    <mergeCell ref="B41:B43"/>
    <mergeCell ref="C41:H41"/>
    <mergeCell ref="C42:H42"/>
    <mergeCell ref="C43:E43"/>
    <mergeCell ref="F43:H43"/>
    <mergeCell ref="B34:B35"/>
    <mergeCell ref="C34:H34"/>
    <mergeCell ref="C35:H35"/>
    <mergeCell ref="B36:B37"/>
    <mergeCell ref="C36:H36"/>
    <mergeCell ref="C37:H37"/>
    <mergeCell ref="B30:B31"/>
    <mergeCell ref="C30:H30"/>
    <mergeCell ref="C31:H31"/>
    <mergeCell ref="B32:B33"/>
    <mergeCell ref="C32:H32"/>
    <mergeCell ref="C33:H33"/>
    <mergeCell ref="C14:H14"/>
    <mergeCell ref="C15:H15"/>
    <mergeCell ref="B16:B18"/>
    <mergeCell ref="C16:H18"/>
    <mergeCell ref="C22:G24"/>
    <mergeCell ref="B28:B29"/>
    <mergeCell ref="C28:H28"/>
    <mergeCell ref="C29:H29"/>
    <mergeCell ref="B1:H1"/>
    <mergeCell ref="B3:H3"/>
    <mergeCell ref="B6:H6"/>
    <mergeCell ref="C8:G9"/>
    <mergeCell ref="C12:H12"/>
    <mergeCell ref="C13:H13"/>
  </mergeCells>
  <pageMargins left="0.70866141732283472" right="0.70866141732283472" top="0.74803149606299213" bottom="0.74803149606299213" header="0.31496062992125984" footer="0.31496062992125984"/>
  <pageSetup paperSize="9" scale="9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PLACOT_VI</vt:lpstr>
      <vt:lpstr>GRAFICOS</vt:lpstr>
      <vt:lpstr>GI</vt:lpstr>
      <vt:lpstr>PLACOT</vt:lpstr>
      <vt:lpstr>Redeterminación de precios</vt:lpstr>
      <vt:lpstr>PLACOT!Títulos_a_imprimir</vt:lpstr>
      <vt:lpstr>PLACOT_VI!Títulos_a_imprimir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Salvatierra, Leandro</dc:creator>
  <cp:lastModifiedBy>Díaz, Jonathan</cp:lastModifiedBy>
  <cp:lastPrinted>2018-09-18T18:53:52Z</cp:lastPrinted>
  <dcterms:created xsi:type="dcterms:W3CDTF">2017-08-17T18:55:46Z</dcterms:created>
  <dcterms:modified xsi:type="dcterms:W3CDTF">2020-01-23T15:12:31Z</dcterms:modified>
</cp:coreProperties>
</file>