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arcelo.escobar\Documents\ownCloud3\02 - Facility Management\01 - Mantenimiento\02 - Constitucion\01 - Pliegos en Produccion\"/>
    </mc:Choice>
  </mc:AlternateContent>
  <bookViews>
    <workbookView xWindow="0" yWindow="0" windowWidth="20490" windowHeight="8120"/>
  </bookViews>
  <sheets>
    <sheet name="SC-GGA-ET-05-A-01" sheetId="6" r:id="rId1"/>
    <sheet name="Hoja1" sheetId="9" state="hidden" r:id="rId2"/>
    <sheet name="Costos" sheetId="1" state="hidden" r:id="rId3"/>
    <sheet name="Estudio" sheetId="4" state="hidden" r:id="rId4"/>
    <sheet name="Gastos" sheetId="2" state="hidden" r:id="rId5"/>
    <sheet name="Aux 3p y Anexo" sheetId="3" state="hidden" r:id="rId6"/>
    <sheet name="ICC (2)" sheetId="5" state="hidden" r:id="rId7"/>
  </sheets>
  <definedNames>
    <definedName name="_xlnm.Print_Area" localSheetId="6">'ICC (2)'!$A$1:$AB$28</definedName>
    <definedName name="_xlnm.Print_Area" localSheetId="0">'SC-GGA-ET-05-A-01'!$A$1:$G$140</definedName>
  </definedNames>
  <calcPr calcId="152511"/>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28" i="1" l="1"/>
  <c r="C118" i="1" l="1"/>
  <c r="D59" i="4" l="1"/>
  <c r="E59" i="4" s="1"/>
  <c r="I69" i="1"/>
  <c r="E348" i="1" l="1"/>
  <c r="E347" i="1"/>
  <c r="E346" i="1"/>
  <c r="E345" i="1"/>
  <c r="E344" i="1"/>
  <c r="E343" i="1"/>
  <c r="E342" i="1"/>
  <c r="E341" i="1"/>
  <c r="E340" i="1"/>
  <c r="E339" i="1"/>
  <c r="E338" i="1"/>
  <c r="E335" i="1"/>
  <c r="E334" i="1"/>
  <c r="E333" i="1"/>
  <c r="E332" i="1"/>
  <c r="E331" i="1"/>
  <c r="E330" i="1"/>
  <c r="E329" i="1"/>
  <c r="E328" i="1"/>
  <c r="E327" i="1"/>
  <c r="E323" i="1"/>
  <c r="E322" i="1"/>
  <c r="E321" i="1"/>
  <c r="E320" i="1"/>
  <c r="E319" i="1"/>
  <c r="E318" i="1"/>
  <c r="I348" i="1"/>
  <c r="I347" i="1"/>
  <c r="I346" i="1"/>
  <c r="I345" i="1"/>
  <c r="I344" i="1"/>
  <c r="I343" i="1"/>
  <c r="I342" i="1"/>
  <c r="I341" i="1"/>
  <c r="I340" i="1"/>
  <c r="I339" i="1"/>
  <c r="I338" i="1"/>
  <c r="I337" i="1"/>
  <c r="I336" i="1"/>
  <c r="I335" i="1"/>
  <c r="I334" i="1"/>
  <c r="I333" i="1"/>
  <c r="I332" i="1"/>
  <c r="I331" i="1"/>
  <c r="I330" i="1"/>
  <c r="I329" i="1"/>
  <c r="I328" i="1"/>
  <c r="I327" i="1"/>
  <c r="I326" i="1"/>
  <c r="I325" i="1"/>
  <c r="I324" i="1"/>
  <c r="I323" i="1"/>
  <c r="I321" i="1"/>
  <c r="I320" i="1"/>
  <c r="I319" i="1"/>
  <c r="I318" i="1"/>
  <c r="I314" i="1"/>
  <c r="I313" i="1"/>
  <c r="I312" i="1"/>
  <c r="I311" i="1"/>
  <c r="I310" i="1"/>
  <c r="I309" i="1"/>
  <c r="I308" i="1"/>
  <c r="I307" i="1"/>
  <c r="I306" i="1"/>
  <c r="I305" i="1"/>
  <c r="I304" i="1"/>
  <c r="I303" i="1"/>
  <c r="I302" i="1"/>
  <c r="I301" i="1"/>
  <c r="I300" i="1"/>
  <c r="I299" i="1"/>
  <c r="I298" i="1"/>
  <c r="I297" i="1"/>
  <c r="I296" i="1"/>
  <c r="I295" i="1"/>
  <c r="I294" i="1"/>
  <c r="I293" i="1"/>
  <c r="I292" i="1"/>
  <c r="I291" i="1"/>
  <c r="I290" i="1"/>
  <c r="I289" i="1"/>
  <c r="I288" i="1"/>
  <c r="I287" i="1"/>
  <c r="I286" i="1"/>
  <c r="I285" i="1"/>
  <c r="I284" i="1"/>
  <c r="I283" i="1"/>
  <c r="I282" i="1"/>
  <c r="I281" i="1"/>
  <c r="I280" i="1"/>
  <c r="I279" i="1"/>
  <c r="I278" i="1"/>
  <c r="I277" i="1"/>
  <c r="E276" i="1"/>
  <c r="E239"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199" i="1"/>
  <c r="E198" i="1"/>
  <c r="E197" i="1"/>
  <c r="E141" i="1"/>
  <c r="E312" i="1" s="1"/>
  <c r="E106" i="1"/>
  <c r="E277" i="1" s="1"/>
  <c r="I208" i="1"/>
  <c r="I203" i="1"/>
  <c r="I202" i="1"/>
  <c r="I241" i="1" s="1"/>
  <c r="I151" i="1"/>
  <c r="I322" i="1" s="1"/>
  <c r="I234" i="1"/>
  <c r="I233" i="1"/>
  <c r="I232" i="1"/>
  <c r="I231" i="1"/>
  <c r="I230" i="1"/>
  <c r="I229" i="1"/>
  <c r="I268" i="1" s="1"/>
  <c r="I228" i="1"/>
  <c r="I218" i="1"/>
  <c r="I217" i="1"/>
  <c r="I216" i="1"/>
  <c r="I215" i="1"/>
  <c r="I214" i="1"/>
  <c r="I253" i="1" s="1"/>
  <c r="I213" i="1"/>
  <c r="C314" i="1"/>
  <c r="C313" i="1"/>
  <c r="C312" i="1"/>
  <c r="C311" i="1"/>
  <c r="C310" i="1"/>
  <c r="C309" i="1"/>
  <c r="C308" i="1"/>
  <c r="C307" i="1"/>
  <c r="C306" i="1"/>
  <c r="C305" i="1"/>
  <c r="C304" i="1"/>
  <c r="C303" i="1"/>
  <c r="C302" i="1"/>
  <c r="C301" i="1"/>
  <c r="C300" i="1"/>
  <c r="C299" i="1"/>
  <c r="C298" i="1"/>
  <c r="C297" i="1"/>
  <c r="C296" i="1"/>
  <c r="C295" i="1"/>
  <c r="C294" i="1"/>
  <c r="C293" i="1"/>
  <c r="C292" i="1"/>
  <c r="C291" i="1"/>
  <c r="C290" i="1"/>
  <c r="C289" i="1"/>
  <c r="C288" i="1"/>
  <c r="C287" i="1"/>
  <c r="C286" i="1"/>
  <c r="C285" i="1"/>
  <c r="C284" i="1"/>
  <c r="C283" i="1"/>
  <c r="C282" i="1"/>
  <c r="C281" i="1"/>
  <c r="C280" i="1"/>
  <c r="C279" i="1"/>
  <c r="C278" i="1"/>
  <c r="C277" i="1"/>
  <c r="D273" i="1"/>
  <c r="C273" i="1"/>
  <c r="I272" i="1"/>
  <c r="D272" i="1"/>
  <c r="C272" i="1"/>
  <c r="D271" i="1"/>
  <c r="C271" i="1"/>
  <c r="D270" i="1"/>
  <c r="C270" i="1"/>
  <c r="D269" i="1"/>
  <c r="C269" i="1"/>
  <c r="D268" i="1"/>
  <c r="C268" i="1"/>
  <c r="D267" i="1"/>
  <c r="C267" i="1"/>
  <c r="D266" i="1"/>
  <c r="C266" i="1"/>
  <c r="D265" i="1"/>
  <c r="C265" i="1"/>
  <c r="D264" i="1"/>
  <c r="C264" i="1"/>
  <c r="D263" i="1"/>
  <c r="C263" i="1"/>
  <c r="D262" i="1"/>
  <c r="C262" i="1"/>
  <c r="D261" i="1"/>
  <c r="C261" i="1"/>
  <c r="D260" i="1"/>
  <c r="C260" i="1"/>
  <c r="D259" i="1"/>
  <c r="C259" i="1"/>
  <c r="D258" i="1"/>
  <c r="C258" i="1"/>
  <c r="D257" i="1"/>
  <c r="C257" i="1"/>
  <c r="I256" i="1"/>
  <c r="D256" i="1"/>
  <c r="C256" i="1"/>
  <c r="D255" i="1"/>
  <c r="C255" i="1"/>
  <c r="D254" i="1"/>
  <c r="C254" i="1"/>
  <c r="D253" i="1"/>
  <c r="C253" i="1"/>
  <c r="I252" i="1"/>
  <c r="D252" i="1"/>
  <c r="C252" i="1"/>
  <c r="I251" i="1"/>
  <c r="D251" i="1"/>
  <c r="C251" i="1"/>
  <c r="I250" i="1"/>
  <c r="D250" i="1"/>
  <c r="C250" i="1"/>
  <c r="I249" i="1"/>
  <c r="D249" i="1"/>
  <c r="C249" i="1"/>
  <c r="I248" i="1"/>
  <c r="D248" i="1"/>
  <c r="C248" i="1"/>
  <c r="D247" i="1"/>
  <c r="C247" i="1"/>
  <c r="D246" i="1"/>
  <c r="C246" i="1"/>
  <c r="D245" i="1"/>
  <c r="C245" i="1"/>
  <c r="D244" i="1"/>
  <c r="C244" i="1"/>
  <c r="D243" i="1"/>
  <c r="C243" i="1"/>
  <c r="D242" i="1"/>
  <c r="C242" i="1"/>
  <c r="D241" i="1"/>
  <c r="C241" i="1"/>
  <c r="D240" i="1"/>
  <c r="C240" i="1"/>
  <c r="I227" i="1"/>
  <c r="I226" i="1"/>
  <c r="I225" i="1"/>
  <c r="I224" i="1"/>
  <c r="I223" i="1"/>
  <c r="I222" i="1"/>
  <c r="I221" i="1"/>
  <c r="I260" i="1" s="1"/>
  <c r="I220" i="1"/>
  <c r="I219" i="1"/>
  <c r="I207" i="1"/>
  <c r="I206" i="1"/>
  <c r="I205" i="1"/>
  <c r="I244" i="1" s="1"/>
  <c r="I204" i="1"/>
  <c r="C15" i="1"/>
  <c r="C187" i="1" s="1"/>
  <c r="B15" i="1"/>
  <c r="B187" i="1" s="1"/>
  <c r="C14" i="1"/>
  <c r="C186" i="1" s="1"/>
  <c r="B14" i="1"/>
  <c r="B186" i="1" s="1"/>
  <c r="C13" i="1"/>
  <c r="C185" i="1" s="1"/>
  <c r="B13" i="1"/>
  <c r="B185" i="1" s="1"/>
  <c r="C11" i="1"/>
  <c r="C184" i="1" s="1"/>
  <c r="B11" i="1"/>
  <c r="B184" i="1" s="1"/>
  <c r="C10" i="1"/>
  <c r="C183" i="1" s="1"/>
  <c r="B10" i="1"/>
  <c r="B183" i="1" s="1"/>
  <c r="C9" i="1"/>
  <c r="C182" i="1" s="1"/>
  <c r="B9" i="1"/>
  <c r="B182" i="1" s="1"/>
  <c r="I264" i="1" l="1"/>
  <c r="I242" i="1"/>
  <c r="I246" i="1"/>
  <c r="I254" i="1"/>
  <c r="I255" i="1"/>
  <c r="I258" i="1"/>
  <c r="I259" i="1"/>
  <c r="I262" i="1"/>
  <c r="I263" i="1"/>
  <c r="I266" i="1"/>
  <c r="I267" i="1"/>
  <c r="I270" i="1"/>
  <c r="I271" i="1"/>
  <c r="I257" i="1"/>
  <c r="I261" i="1"/>
  <c r="I265" i="1"/>
  <c r="I269" i="1"/>
  <c r="I273" i="1"/>
  <c r="I245" i="1"/>
  <c r="I243" i="1"/>
  <c r="I247" i="1"/>
  <c r="E166" i="1"/>
  <c r="E337" i="1" s="1"/>
  <c r="E165" i="1"/>
  <c r="E336" i="1" s="1"/>
  <c r="B88" i="4"/>
  <c r="G87" i="4"/>
  <c r="F87" i="4"/>
  <c r="E87" i="4"/>
  <c r="D87" i="4"/>
  <c r="F83" i="4"/>
  <c r="G83" i="4" s="1"/>
  <c r="F82" i="4"/>
  <c r="G82" i="4" s="1"/>
  <c r="I4" i="1" l="1"/>
  <c r="J207" i="1" s="1"/>
  <c r="K207" i="1" s="1"/>
  <c r="J213" i="1"/>
  <c r="K213" i="1" s="1"/>
  <c r="F213" i="1" s="1"/>
  <c r="G213" i="1" s="1"/>
  <c r="F207" i="1"/>
  <c r="G207" i="1" s="1"/>
  <c r="J223" i="1"/>
  <c r="K223" i="1" s="1"/>
  <c r="J222" i="1"/>
  <c r="K222" i="1" s="1"/>
  <c r="J224" i="1"/>
  <c r="K224" i="1" s="1"/>
  <c r="J233" i="1"/>
  <c r="K233" i="1" s="1"/>
  <c r="F233" i="1" s="1"/>
  <c r="G233" i="1" s="1"/>
  <c r="J205" i="1"/>
  <c r="K205" i="1" s="1"/>
  <c r="J230" i="1"/>
  <c r="K230" i="1" s="1"/>
  <c r="F230" i="1" s="1"/>
  <c r="G230" i="1" s="1"/>
  <c r="J219" i="1"/>
  <c r="K219" i="1" s="1"/>
  <c r="J225" i="1"/>
  <c r="K225" i="1" s="1"/>
  <c r="J215" i="1"/>
  <c r="K215" i="1" s="1"/>
  <c r="J202" i="1"/>
  <c r="K202" i="1" s="1"/>
  <c r="J232" i="1"/>
  <c r="K232" i="1" s="1"/>
  <c r="F232" i="1" s="1"/>
  <c r="G232" i="1" s="1"/>
  <c r="J218" i="1"/>
  <c r="K218" i="1" s="1"/>
  <c r="F218" i="1" s="1"/>
  <c r="G218" i="1" s="1"/>
  <c r="J209" i="1"/>
  <c r="K209" i="1" s="1"/>
  <c r="J212" i="1"/>
  <c r="K212" i="1" s="1"/>
  <c r="J208" i="1"/>
  <c r="K208" i="1" s="1"/>
  <c r="J220" i="1"/>
  <c r="K220" i="1" s="1"/>
  <c r="J228" i="1"/>
  <c r="K228" i="1" s="1"/>
  <c r="F228" i="1" s="1"/>
  <c r="G228" i="1" s="1"/>
  <c r="J211" i="1"/>
  <c r="K211" i="1" s="1"/>
  <c r="F211" i="1" s="1"/>
  <c r="G211" i="1" s="1"/>
  <c r="J201" i="1"/>
  <c r="K201" i="1" s="1"/>
  <c r="F201" i="1" s="1"/>
  <c r="G201" i="1" s="1"/>
  <c r="J231" i="1"/>
  <c r="K231" i="1" s="1"/>
  <c r="F231" i="1" s="1"/>
  <c r="G231" i="1" s="1"/>
  <c r="J227" i="1"/>
  <c r="K227" i="1" s="1"/>
  <c r="J206" i="1"/>
  <c r="K206" i="1" s="1"/>
  <c r="F215" i="1"/>
  <c r="G215" i="1" s="1"/>
  <c r="I3" i="1"/>
  <c r="J221" i="1" l="1"/>
  <c r="K221" i="1" s="1"/>
  <c r="F221" i="1" s="1"/>
  <c r="G221" i="1" s="1"/>
  <c r="J229" i="1"/>
  <c r="K229" i="1" s="1"/>
  <c r="F229" i="1" s="1"/>
  <c r="G229" i="1" s="1"/>
  <c r="J217" i="1"/>
  <c r="K217" i="1" s="1"/>
  <c r="F217" i="1" s="1"/>
  <c r="G217" i="1" s="1"/>
  <c r="J203" i="1"/>
  <c r="K203" i="1" s="1"/>
  <c r="F203" i="1" s="1"/>
  <c r="G203" i="1" s="1"/>
  <c r="J216" i="1"/>
  <c r="K216" i="1" s="1"/>
  <c r="F216" i="1" s="1"/>
  <c r="G216" i="1" s="1"/>
  <c r="J214" i="1"/>
  <c r="K214" i="1" s="1"/>
  <c r="F214" i="1" s="1"/>
  <c r="G214" i="1" s="1"/>
  <c r="J210" i="1"/>
  <c r="K210" i="1" s="1"/>
  <c r="J204" i="1"/>
  <c r="K204" i="1" s="1"/>
  <c r="F204" i="1" s="1"/>
  <c r="G204" i="1" s="1"/>
  <c r="J234" i="1"/>
  <c r="K234" i="1" s="1"/>
  <c r="F234" i="1" s="1"/>
  <c r="G234" i="1" s="1"/>
  <c r="J226" i="1"/>
  <c r="K226" i="1" s="1"/>
  <c r="F226" i="1" s="1"/>
  <c r="G226" i="1" s="1"/>
  <c r="J263" i="1"/>
  <c r="K263" i="1" s="1"/>
  <c r="F263" i="1" s="1"/>
  <c r="J277" i="1"/>
  <c r="J255" i="1"/>
  <c r="K255" i="1" s="1"/>
  <c r="F255" i="1" s="1"/>
  <c r="J242" i="1"/>
  <c r="K242" i="1" s="1"/>
  <c r="F242" i="1" s="1"/>
  <c r="J247" i="1"/>
  <c r="K247" i="1" s="1"/>
  <c r="F247" i="1" s="1"/>
  <c r="J264" i="1"/>
  <c r="K264" i="1" s="1"/>
  <c r="F264" i="1" s="1"/>
  <c r="J271" i="1"/>
  <c r="K271" i="1" s="1"/>
  <c r="F271" i="1" s="1"/>
  <c r="J246" i="1"/>
  <c r="K246" i="1" s="1"/>
  <c r="F246" i="1" s="1"/>
  <c r="J267" i="1"/>
  <c r="K267" i="1" s="1"/>
  <c r="F267" i="1" s="1"/>
  <c r="F212" i="1"/>
  <c r="G212" i="1" s="1"/>
  <c r="F222" i="1"/>
  <c r="G222" i="1" s="1"/>
  <c r="F206" i="1"/>
  <c r="G206" i="1" s="1"/>
  <c r="J258" i="1"/>
  <c r="K258" i="1" s="1"/>
  <c r="F258" i="1" s="1"/>
  <c r="J257" i="1"/>
  <c r="K257" i="1" s="1"/>
  <c r="F257" i="1" s="1"/>
  <c r="F220" i="1"/>
  <c r="G220" i="1" s="1"/>
  <c r="F209" i="1"/>
  <c r="G209" i="1" s="1"/>
  <c r="F202" i="1"/>
  <c r="G202" i="1" s="1"/>
  <c r="J270" i="1"/>
  <c r="K270" i="1" s="1"/>
  <c r="F270" i="1" s="1"/>
  <c r="F223" i="1"/>
  <c r="G223" i="1" s="1"/>
  <c r="J261" i="1"/>
  <c r="K261" i="1" s="1"/>
  <c r="F261" i="1" s="1"/>
  <c r="J259" i="1"/>
  <c r="K259" i="1" s="1"/>
  <c r="F259" i="1" s="1"/>
  <c r="J262" i="1"/>
  <c r="K262" i="1" s="1"/>
  <c r="F262" i="1" s="1"/>
  <c r="J265" i="1"/>
  <c r="K265" i="1" s="1"/>
  <c r="F265" i="1" s="1"/>
  <c r="F210" i="1"/>
  <c r="G210" i="1" s="1"/>
  <c r="F225" i="1"/>
  <c r="G225" i="1" s="1"/>
  <c r="F205" i="1"/>
  <c r="G205" i="1" s="1"/>
  <c r="J245" i="1"/>
  <c r="K245" i="1" s="1"/>
  <c r="F245" i="1" s="1"/>
  <c r="J269" i="1"/>
  <c r="K269" i="1" s="1"/>
  <c r="F269" i="1" s="1"/>
  <c r="J347" i="1"/>
  <c r="K347" i="1" s="1"/>
  <c r="F347" i="1" s="1"/>
  <c r="G347" i="1" s="1"/>
  <c r="J343" i="1"/>
  <c r="K343" i="1" s="1"/>
  <c r="F343" i="1" s="1"/>
  <c r="G343" i="1" s="1"/>
  <c r="J339" i="1"/>
  <c r="K339" i="1" s="1"/>
  <c r="F339" i="1" s="1"/>
  <c r="G339" i="1" s="1"/>
  <c r="J335" i="1"/>
  <c r="K335" i="1" s="1"/>
  <c r="F335" i="1" s="1"/>
  <c r="G335" i="1" s="1"/>
  <c r="J331" i="1"/>
  <c r="K331" i="1" s="1"/>
  <c r="F331" i="1" s="1"/>
  <c r="G331" i="1" s="1"/>
  <c r="J327" i="1"/>
  <c r="K327" i="1" s="1"/>
  <c r="F327" i="1" s="1"/>
  <c r="G327" i="1" s="1"/>
  <c r="J323" i="1"/>
  <c r="K323" i="1" s="1"/>
  <c r="F323" i="1" s="1"/>
  <c r="G323" i="1" s="1"/>
  <c r="J319" i="1"/>
  <c r="K319" i="1" s="1"/>
  <c r="F319" i="1" s="1"/>
  <c r="G319" i="1" s="1"/>
  <c r="J312" i="1"/>
  <c r="K312" i="1" s="1"/>
  <c r="F312" i="1" s="1"/>
  <c r="G312" i="1" s="1"/>
  <c r="J308" i="1"/>
  <c r="K308" i="1" s="1"/>
  <c r="F308" i="1" s="1"/>
  <c r="J304" i="1"/>
  <c r="K304" i="1" s="1"/>
  <c r="F304" i="1" s="1"/>
  <c r="J300" i="1"/>
  <c r="K300" i="1" s="1"/>
  <c r="F300" i="1" s="1"/>
  <c r="J296" i="1"/>
  <c r="K296" i="1" s="1"/>
  <c r="F296" i="1" s="1"/>
  <c r="J292" i="1"/>
  <c r="K292" i="1" s="1"/>
  <c r="F292" i="1" s="1"/>
  <c r="J288" i="1"/>
  <c r="K288" i="1" s="1"/>
  <c r="F288" i="1" s="1"/>
  <c r="J284" i="1"/>
  <c r="K284" i="1" s="1"/>
  <c r="F284" i="1" s="1"/>
  <c r="J280" i="1"/>
  <c r="K280" i="1" s="1"/>
  <c r="F280" i="1" s="1"/>
  <c r="J346" i="1"/>
  <c r="K346" i="1" s="1"/>
  <c r="F346" i="1" s="1"/>
  <c r="G346" i="1" s="1"/>
  <c r="J342" i="1"/>
  <c r="K342" i="1" s="1"/>
  <c r="F342" i="1" s="1"/>
  <c r="G342" i="1" s="1"/>
  <c r="J338" i="1"/>
  <c r="K338" i="1" s="1"/>
  <c r="F338" i="1" s="1"/>
  <c r="G338" i="1" s="1"/>
  <c r="J334" i="1"/>
  <c r="K334" i="1" s="1"/>
  <c r="F334" i="1" s="1"/>
  <c r="G334" i="1" s="1"/>
  <c r="J330" i="1"/>
  <c r="K330" i="1" s="1"/>
  <c r="F330" i="1" s="1"/>
  <c r="G330" i="1" s="1"/>
  <c r="J326" i="1"/>
  <c r="K326" i="1" s="1"/>
  <c r="F326" i="1" s="1"/>
  <c r="J318" i="1"/>
  <c r="K318" i="1" s="1"/>
  <c r="F318" i="1" s="1"/>
  <c r="G318" i="1" s="1"/>
  <c r="J311" i="1"/>
  <c r="K311" i="1" s="1"/>
  <c r="F311" i="1" s="1"/>
  <c r="J307" i="1"/>
  <c r="K307" i="1" s="1"/>
  <c r="F307" i="1" s="1"/>
  <c r="J303" i="1"/>
  <c r="K303" i="1" s="1"/>
  <c r="F303" i="1" s="1"/>
  <c r="J299" i="1"/>
  <c r="K299" i="1" s="1"/>
  <c r="F299" i="1" s="1"/>
  <c r="J295" i="1"/>
  <c r="K295" i="1" s="1"/>
  <c r="F295" i="1" s="1"/>
  <c r="J291" i="1"/>
  <c r="K291" i="1" s="1"/>
  <c r="F291" i="1" s="1"/>
  <c r="J287" i="1"/>
  <c r="K287" i="1" s="1"/>
  <c r="F287" i="1" s="1"/>
  <c r="J283" i="1"/>
  <c r="K283" i="1" s="1"/>
  <c r="F283" i="1" s="1"/>
  <c r="J279" i="1"/>
  <c r="K279" i="1" s="1"/>
  <c r="F279" i="1" s="1"/>
  <c r="J240" i="1"/>
  <c r="K240" i="1" s="1"/>
  <c r="F240" i="1" s="1"/>
  <c r="J345" i="1"/>
  <c r="K345" i="1" s="1"/>
  <c r="F345" i="1" s="1"/>
  <c r="G345" i="1" s="1"/>
  <c r="J341" i="1"/>
  <c r="K341" i="1" s="1"/>
  <c r="F341" i="1" s="1"/>
  <c r="G341" i="1" s="1"/>
  <c r="J337" i="1"/>
  <c r="K337" i="1" s="1"/>
  <c r="F337" i="1" s="1"/>
  <c r="G337" i="1" s="1"/>
  <c r="J333" i="1"/>
  <c r="K333" i="1" s="1"/>
  <c r="F333" i="1" s="1"/>
  <c r="G333" i="1" s="1"/>
  <c r="J329" i="1"/>
  <c r="K329" i="1" s="1"/>
  <c r="F329" i="1" s="1"/>
  <c r="G329" i="1" s="1"/>
  <c r="J325" i="1"/>
  <c r="K325" i="1" s="1"/>
  <c r="F325" i="1" s="1"/>
  <c r="J321" i="1"/>
  <c r="K321" i="1" s="1"/>
  <c r="F321" i="1" s="1"/>
  <c r="G321" i="1" s="1"/>
  <c r="J314" i="1"/>
  <c r="K314" i="1" s="1"/>
  <c r="F314" i="1" s="1"/>
  <c r="J310" i="1"/>
  <c r="K310" i="1" s="1"/>
  <c r="F310" i="1" s="1"/>
  <c r="J306" i="1"/>
  <c r="K306" i="1" s="1"/>
  <c r="F306" i="1" s="1"/>
  <c r="J302" i="1"/>
  <c r="K302" i="1" s="1"/>
  <c r="F302" i="1" s="1"/>
  <c r="J298" i="1"/>
  <c r="K298" i="1" s="1"/>
  <c r="F298" i="1" s="1"/>
  <c r="J294" i="1"/>
  <c r="K294" i="1" s="1"/>
  <c r="F294" i="1" s="1"/>
  <c r="J290" i="1"/>
  <c r="K290" i="1" s="1"/>
  <c r="F290" i="1" s="1"/>
  <c r="J286" i="1"/>
  <c r="K286" i="1" s="1"/>
  <c r="F286" i="1" s="1"/>
  <c r="J282" i="1"/>
  <c r="K282" i="1" s="1"/>
  <c r="F282" i="1" s="1"/>
  <c r="J278" i="1"/>
  <c r="K278" i="1" s="1"/>
  <c r="F278" i="1" s="1"/>
  <c r="J348" i="1"/>
  <c r="K348" i="1" s="1"/>
  <c r="F348" i="1" s="1"/>
  <c r="G348" i="1" s="1"/>
  <c r="J332" i="1"/>
  <c r="K332" i="1" s="1"/>
  <c r="F332" i="1" s="1"/>
  <c r="G332" i="1" s="1"/>
  <c r="J313" i="1"/>
  <c r="K313" i="1" s="1"/>
  <c r="F313" i="1" s="1"/>
  <c r="J297" i="1"/>
  <c r="K297" i="1" s="1"/>
  <c r="F297" i="1" s="1"/>
  <c r="J281" i="1"/>
  <c r="K281" i="1" s="1"/>
  <c r="F281" i="1" s="1"/>
  <c r="J344" i="1"/>
  <c r="K344" i="1" s="1"/>
  <c r="F344" i="1" s="1"/>
  <c r="G344" i="1" s="1"/>
  <c r="J328" i="1"/>
  <c r="K328" i="1" s="1"/>
  <c r="F328" i="1" s="1"/>
  <c r="G328" i="1" s="1"/>
  <c r="J309" i="1"/>
  <c r="K309" i="1" s="1"/>
  <c r="F309" i="1" s="1"/>
  <c r="J293" i="1"/>
  <c r="K293" i="1" s="1"/>
  <c r="F293" i="1" s="1"/>
  <c r="K277" i="1"/>
  <c r="J285" i="1"/>
  <c r="K285" i="1" s="1"/>
  <c r="F285" i="1" s="1"/>
  <c r="J340" i="1"/>
  <c r="K340" i="1" s="1"/>
  <c r="F340" i="1" s="1"/>
  <c r="G340" i="1" s="1"/>
  <c r="J324" i="1"/>
  <c r="K324" i="1" s="1"/>
  <c r="F324" i="1" s="1"/>
  <c r="J305" i="1"/>
  <c r="K305" i="1" s="1"/>
  <c r="F305" i="1" s="1"/>
  <c r="J289" i="1"/>
  <c r="K289" i="1" s="1"/>
  <c r="F289" i="1" s="1"/>
  <c r="J336" i="1"/>
  <c r="K336" i="1" s="1"/>
  <c r="F336" i="1" s="1"/>
  <c r="G336" i="1" s="1"/>
  <c r="J320" i="1"/>
  <c r="K320" i="1" s="1"/>
  <c r="F320" i="1" s="1"/>
  <c r="G320" i="1" s="1"/>
  <c r="J301" i="1"/>
  <c r="K301" i="1" s="1"/>
  <c r="F301" i="1" s="1"/>
  <c r="J250" i="1"/>
  <c r="K250" i="1" s="1"/>
  <c r="F250" i="1" s="1"/>
  <c r="J248" i="1"/>
  <c r="K248" i="1" s="1"/>
  <c r="F248" i="1" s="1"/>
  <c r="J322" i="1"/>
  <c r="K322" i="1" s="1"/>
  <c r="F322" i="1" s="1"/>
  <c r="G322" i="1" s="1"/>
  <c r="J252" i="1"/>
  <c r="K252" i="1" s="1"/>
  <c r="F252" i="1" s="1"/>
  <c r="J249" i="1"/>
  <c r="K249" i="1" s="1"/>
  <c r="F249" i="1" s="1"/>
  <c r="J268" i="1"/>
  <c r="K268" i="1" s="1"/>
  <c r="F268" i="1" s="1"/>
  <c r="J272" i="1"/>
  <c r="K272" i="1" s="1"/>
  <c r="F272" i="1" s="1"/>
  <c r="J256" i="1"/>
  <c r="K256" i="1" s="1"/>
  <c r="F256" i="1" s="1"/>
  <c r="J260" i="1"/>
  <c r="K260" i="1" s="1"/>
  <c r="F260" i="1" s="1"/>
  <c r="J244" i="1"/>
  <c r="K244" i="1" s="1"/>
  <c r="F244" i="1" s="1"/>
  <c r="J251" i="1"/>
  <c r="K251" i="1" s="1"/>
  <c r="F251" i="1" s="1"/>
  <c r="J253" i="1"/>
  <c r="K253" i="1" s="1"/>
  <c r="F253" i="1" s="1"/>
  <c r="J241" i="1"/>
  <c r="K241" i="1" s="1"/>
  <c r="F241" i="1" s="1"/>
  <c r="F227" i="1"/>
  <c r="G227" i="1" s="1"/>
  <c r="J266" i="1"/>
  <c r="K266" i="1" s="1"/>
  <c r="F266" i="1" s="1"/>
  <c r="J273" i="1"/>
  <c r="K273" i="1" s="1"/>
  <c r="F273" i="1" s="1"/>
  <c r="F208" i="1"/>
  <c r="G208" i="1" s="1"/>
  <c r="F219" i="1"/>
  <c r="G219" i="1" s="1"/>
  <c r="F224" i="1"/>
  <c r="G224" i="1" s="1"/>
  <c r="J254" i="1"/>
  <c r="K254" i="1" s="1"/>
  <c r="F254" i="1" s="1"/>
  <c r="J243" i="1"/>
  <c r="K243" i="1" s="1"/>
  <c r="F243" i="1" s="1"/>
  <c r="C57" i="4"/>
  <c r="C121" i="4" s="1"/>
  <c r="B57" i="4"/>
  <c r="B121" i="4" s="1"/>
  <c r="C56" i="4"/>
  <c r="C120" i="4" s="1"/>
  <c r="B56" i="4"/>
  <c r="B120" i="4" s="1"/>
  <c r="C55" i="4"/>
  <c r="C119" i="4" s="1"/>
  <c r="B55" i="4"/>
  <c r="B119" i="4" s="1"/>
  <c r="B26" i="4"/>
  <c r="B93" i="4" s="1"/>
  <c r="B20" i="4"/>
  <c r="B87" i="4" s="1"/>
  <c r="B54" i="4"/>
  <c r="B118" i="4" s="1"/>
  <c r="C54" i="4"/>
  <c r="C118" i="4" s="1"/>
  <c r="C20" i="4"/>
  <c r="C87" i="4" s="1"/>
  <c r="F199" i="1" l="1"/>
  <c r="G199" i="1" s="1"/>
  <c r="F277" i="1"/>
  <c r="G277" i="1" s="1"/>
  <c r="C26" i="4"/>
  <c r="C93" i="4" s="1"/>
  <c r="C25" i="4"/>
  <c r="C92" i="4" s="1"/>
  <c r="C24" i="4"/>
  <c r="C91" i="4" s="1"/>
  <c r="C23" i="4"/>
  <c r="C90" i="4" s="1"/>
  <c r="C22" i="4"/>
  <c r="C89" i="4" s="1"/>
  <c r="C21" i="4"/>
  <c r="C88" i="4" s="1"/>
  <c r="G184" i="1" l="1"/>
  <c r="H11" i="1" s="1"/>
  <c r="D93" i="4"/>
  <c r="G28" i="2"/>
  <c r="I80" i="1"/>
  <c r="I79" i="1"/>
  <c r="I78" i="1"/>
  <c r="I77" i="1"/>
  <c r="E102" i="1"/>
  <c r="E273" i="1" s="1"/>
  <c r="G273" i="1" s="1"/>
  <c r="D102" i="1"/>
  <c r="C102" i="1"/>
  <c r="E101" i="1"/>
  <c r="E272" i="1" s="1"/>
  <c r="G272" i="1" s="1"/>
  <c r="D101" i="1"/>
  <c r="C101" i="1"/>
  <c r="I63" i="1"/>
  <c r="I62" i="1"/>
  <c r="I61" i="1"/>
  <c r="C143" i="1"/>
  <c r="C142" i="1"/>
  <c r="C141" i="1"/>
  <c r="C140" i="1"/>
  <c r="C139" i="1"/>
  <c r="C138" i="1"/>
  <c r="C137" i="1"/>
  <c r="C136" i="1"/>
  <c r="C135" i="1"/>
  <c r="C134" i="1"/>
  <c r="C133" i="1"/>
  <c r="C132" i="1"/>
  <c r="C131" i="1"/>
  <c r="C130" i="1"/>
  <c r="C129" i="1"/>
  <c r="C128" i="1"/>
  <c r="C127" i="1"/>
  <c r="C126" i="1"/>
  <c r="C125" i="1"/>
  <c r="C124" i="1"/>
  <c r="C123" i="1"/>
  <c r="C122" i="1"/>
  <c r="C121" i="1"/>
  <c r="C120" i="1"/>
  <c r="C119" i="1"/>
  <c r="C117" i="1"/>
  <c r="C116" i="1"/>
  <c r="C115" i="1"/>
  <c r="C114" i="1"/>
  <c r="C113" i="1"/>
  <c r="C112" i="1"/>
  <c r="C111" i="1"/>
  <c r="C110" i="1"/>
  <c r="C109" i="1"/>
  <c r="C108" i="1"/>
  <c r="C107" i="1"/>
  <c r="C106" i="1"/>
  <c r="J143" i="1"/>
  <c r="K143" i="1" s="1"/>
  <c r="F143" i="1" s="1"/>
  <c r="J142" i="1"/>
  <c r="K142" i="1" s="1"/>
  <c r="F142" i="1" s="1"/>
  <c r="J141" i="1"/>
  <c r="K141" i="1" s="1"/>
  <c r="F141" i="1" s="1"/>
  <c r="J140" i="1"/>
  <c r="K140" i="1" s="1"/>
  <c r="F140" i="1" s="1"/>
  <c r="J139" i="1"/>
  <c r="K139" i="1" s="1"/>
  <c r="F139" i="1" s="1"/>
  <c r="J138" i="1"/>
  <c r="K138" i="1" s="1"/>
  <c r="F138" i="1" s="1"/>
  <c r="J137" i="1"/>
  <c r="K137" i="1" s="1"/>
  <c r="F137" i="1" s="1"/>
  <c r="J136" i="1"/>
  <c r="K136" i="1" s="1"/>
  <c r="F136" i="1" s="1"/>
  <c r="J135" i="1"/>
  <c r="K135" i="1" s="1"/>
  <c r="F135" i="1" s="1"/>
  <c r="J134" i="1"/>
  <c r="K134" i="1" s="1"/>
  <c r="F134" i="1" s="1"/>
  <c r="J133" i="1"/>
  <c r="K133" i="1" s="1"/>
  <c r="F133" i="1" s="1"/>
  <c r="J132" i="1"/>
  <c r="K132" i="1" s="1"/>
  <c r="F132" i="1" s="1"/>
  <c r="J131" i="1"/>
  <c r="K131" i="1" s="1"/>
  <c r="F131" i="1" s="1"/>
  <c r="J130" i="1"/>
  <c r="K130" i="1" s="1"/>
  <c r="F130" i="1" s="1"/>
  <c r="J129" i="1"/>
  <c r="K129" i="1" s="1"/>
  <c r="F129" i="1" s="1"/>
  <c r="J128" i="1"/>
  <c r="K128" i="1" s="1"/>
  <c r="F128" i="1" s="1"/>
  <c r="J127" i="1"/>
  <c r="K127" i="1" s="1"/>
  <c r="F127" i="1" s="1"/>
  <c r="J126" i="1"/>
  <c r="K126" i="1" s="1"/>
  <c r="F126" i="1" s="1"/>
  <c r="J125" i="1"/>
  <c r="K125" i="1" s="1"/>
  <c r="F125" i="1" s="1"/>
  <c r="J124" i="1"/>
  <c r="K124" i="1" s="1"/>
  <c r="F124" i="1" s="1"/>
  <c r="J123" i="1"/>
  <c r="K123" i="1" s="1"/>
  <c r="F123" i="1" s="1"/>
  <c r="J122" i="1"/>
  <c r="K122" i="1" s="1"/>
  <c r="F122" i="1" s="1"/>
  <c r="J121" i="1"/>
  <c r="K121" i="1" s="1"/>
  <c r="F121" i="1" s="1"/>
  <c r="J120" i="1"/>
  <c r="K120" i="1" s="1"/>
  <c r="F120" i="1" s="1"/>
  <c r="J119" i="1"/>
  <c r="K119" i="1" s="1"/>
  <c r="F119" i="1" s="1"/>
  <c r="J118" i="1"/>
  <c r="K118" i="1" s="1"/>
  <c r="F118" i="1" s="1"/>
  <c r="J117" i="1"/>
  <c r="K117" i="1" s="1"/>
  <c r="F117" i="1" s="1"/>
  <c r="J116" i="1"/>
  <c r="K116" i="1" s="1"/>
  <c r="F116" i="1" s="1"/>
  <c r="J115" i="1"/>
  <c r="K115" i="1" s="1"/>
  <c r="F115" i="1" s="1"/>
  <c r="J114" i="1"/>
  <c r="K114" i="1" s="1"/>
  <c r="F114" i="1" s="1"/>
  <c r="J113" i="1"/>
  <c r="K113" i="1" s="1"/>
  <c r="F113" i="1" s="1"/>
  <c r="J112" i="1"/>
  <c r="K112" i="1" s="1"/>
  <c r="F112" i="1" s="1"/>
  <c r="J111" i="1"/>
  <c r="K111" i="1" s="1"/>
  <c r="F111" i="1" s="1"/>
  <c r="J110" i="1"/>
  <c r="K110" i="1" s="1"/>
  <c r="F110" i="1" s="1"/>
  <c r="J109" i="1"/>
  <c r="K109" i="1" s="1"/>
  <c r="F109" i="1" s="1"/>
  <c r="J108" i="1"/>
  <c r="K108" i="1" s="1"/>
  <c r="F108" i="1" s="1"/>
  <c r="J107" i="1"/>
  <c r="K107" i="1" s="1"/>
  <c r="F107" i="1" s="1"/>
  <c r="J106" i="1"/>
  <c r="K106" i="1" s="1"/>
  <c r="F106" i="1" s="1"/>
  <c r="E143" i="1"/>
  <c r="E314" i="1" s="1"/>
  <c r="G314" i="1" s="1"/>
  <c r="E142" i="1"/>
  <c r="E313" i="1" s="1"/>
  <c r="G313" i="1" s="1"/>
  <c r="E140" i="1"/>
  <c r="E311" i="1" s="1"/>
  <c r="G311" i="1" s="1"/>
  <c r="E139" i="1"/>
  <c r="E310" i="1" s="1"/>
  <c r="G310" i="1" s="1"/>
  <c r="E138" i="1"/>
  <c r="E309" i="1" s="1"/>
  <c r="G309" i="1" s="1"/>
  <c r="E137" i="1"/>
  <c r="E308" i="1" s="1"/>
  <c r="G308" i="1" s="1"/>
  <c r="E136" i="1"/>
  <c r="E307" i="1" s="1"/>
  <c r="G307" i="1" s="1"/>
  <c r="E135" i="1"/>
  <c r="E306" i="1" s="1"/>
  <c r="G306" i="1" s="1"/>
  <c r="E134" i="1"/>
  <c r="E305" i="1" s="1"/>
  <c r="G305" i="1" s="1"/>
  <c r="E133" i="1"/>
  <c r="E304" i="1" s="1"/>
  <c r="G304" i="1" s="1"/>
  <c r="E132" i="1"/>
  <c r="E303" i="1" s="1"/>
  <c r="G303" i="1" s="1"/>
  <c r="E131" i="1"/>
  <c r="E302" i="1" s="1"/>
  <c r="G302" i="1" s="1"/>
  <c r="E130" i="1"/>
  <c r="E301" i="1" s="1"/>
  <c r="G301" i="1" s="1"/>
  <c r="E129" i="1"/>
  <c r="E300" i="1" s="1"/>
  <c r="G300" i="1" s="1"/>
  <c r="E128" i="1"/>
  <c r="E299" i="1" s="1"/>
  <c r="G299" i="1" s="1"/>
  <c r="E127" i="1"/>
  <c r="E298" i="1" s="1"/>
  <c r="G298" i="1" s="1"/>
  <c r="E126" i="1"/>
  <c r="E297" i="1" s="1"/>
  <c r="G297" i="1" s="1"/>
  <c r="E125" i="1"/>
  <c r="E296" i="1" s="1"/>
  <c r="G296" i="1" s="1"/>
  <c r="E124" i="1"/>
  <c r="E295" i="1" s="1"/>
  <c r="G295" i="1" s="1"/>
  <c r="E123" i="1"/>
  <c r="E294" i="1" s="1"/>
  <c r="G294" i="1" s="1"/>
  <c r="E122" i="1"/>
  <c r="E293" i="1" s="1"/>
  <c r="G293" i="1" s="1"/>
  <c r="E121" i="1"/>
  <c r="E292" i="1" s="1"/>
  <c r="G292" i="1" s="1"/>
  <c r="E120" i="1"/>
  <c r="E291" i="1" s="1"/>
  <c r="G291" i="1" s="1"/>
  <c r="E119" i="1"/>
  <c r="E290" i="1" s="1"/>
  <c r="G290" i="1" s="1"/>
  <c r="E118" i="1"/>
  <c r="E289" i="1" s="1"/>
  <c r="G289" i="1" s="1"/>
  <c r="E117" i="1"/>
  <c r="E288" i="1" s="1"/>
  <c r="G288" i="1" s="1"/>
  <c r="E116" i="1"/>
  <c r="E287" i="1" s="1"/>
  <c r="G287" i="1" s="1"/>
  <c r="E115" i="1"/>
  <c r="E286" i="1" s="1"/>
  <c r="G286" i="1" s="1"/>
  <c r="E114" i="1"/>
  <c r="E285" i="1" s="1"/>
  <c r="G285" i="1" s="1"/>
  <c r="E113" i="1"/>
  <c r="E284" i="1" s="1"/>
  <c r="G284" i="1" s="1"/>
  <c r="E112" i="1"/>
  <c r="E283" i="1" s="1"/>
  <c r="G283" i="1" s="1"/>
  <c r="E111" i="1"/>
  <c r="E282" i="1" s="1"/>
  <c r="G282" i="1" s="1"/>
  <c r="E110" i="1"/>
  <c r="E281" i="1" s="1"/>
  <c r="G281" i="1" s="1"/>
  <c r="E109" i="1"/>
  <c r="E280" i="1" s="1"/>
  <c r="G280" i="1" s="1"/>
  <c r="E108" i="1"/>
  <c r="E279" i="1" s="1"/>
  <c r="G279" i="1" s="1"/>
  <c r="E107" i="1"/>
  <c r="E278" i="1" s="1"/>
  <c r="G278" i="1" s="1"/>
  <c r="C100" i="1"/>
  <c r="C99" i="1"/>
  <c r="C98" i="1"/>
  <c r="C97" i="1"/>
  <c r="C96" i="1"/>
  <c r="C95" i="1"/>
  <c r="C94" i="1"/>
  <c r="C93" i="1"/>
  <c r="C92" i="1"/>
  <c r="C91" i="1"/>
  <c r="C90" i="1"/>
  <c r="C89" i="1"/>
  <c r="C88" i="1"/>
  <c r="C87" i="1"/>
  <c r="C86" i="1"/>
  <c r="C85" i="1"/>
  <c r="C84" i="1"/>
  <c r="C83" i="1"/>
  <c r="C82" i="1"/>
  <c r="C81" i="1"/>
  <c r="C80" i="1"/>
  <c r="C79" i="1"/>
  <c r="C78" i="1"/>
  <c r="C77" i="1"/>
  <c r="C76" i="1"/>
  <c r="C75" i="1"/>
  <c r="C74" i="1"/>
  <c r="C73" i="1"/>
  <c r="C72" i="1"/>
  <c r="C71" i="1"/>
  <c r="C70" i="1"/>
  <c r="C69" i="1"/>
  <c r="E100" i="1"/>
  <c r="E271" i="1" s="1"/>
  <c r="G271" i="1" s="1"/>
  <c r="D100" i="1"/>
  <c r="E99" i="1"/>
  <c r="E270" i="1" s="1"/>
  <c r="G270" i="1" s="1"/>
  <c r="D99" i="1"/>
  <c r="E98" i="1"/>
  <c r="E269" i="1" s="1"/>
  <c r="G269" i="1" s="1"/>
  <c r="D98" i="1"/>
  <c r="E97" i="1"/>
  <c r="E268" i="1" s="1"/>
  <c r="G268" i="1" s="1"/>
  <c r="D97" i="1"/>
  <c r="E96" i="1"/>
  <c r="E267" i="1" s="1"/>
  <c r="G267" i="1" s="1"/>
  <c r="D96" i="1"/>
  <c r="E95" i="1"/>
  <c r="E266" i="1" s="1"/>
  <c r="G266" i="1" s="1"/>
  <c r="D95" i="1"/>
  <c r="E94" i="1"/>
  <c r="E265" i="1" s="1"/>
  <c r="G265" i="1" s="1"/>
  <c r="D94" i="1"/>
  <c r="E93" i="1"/>
  <c r="E264" i="1" s="1"/>
  <c r="G264" i="1" s="1"/>
  <c r="D93" i="1"/>
  <c r="E92" i="1"/>
  <c r="E263" i="1" s="1"/>
  <c r="G263" i="1" s="1"/>
  <c r="D92" i="1"/>
  <c r="E91" i="1"/>
  <c r="E262" i="1" s="1"/>
  <c r="G262" i="1" s="1"/>
  <c r="D91" i="1"/>
  <c r="E90" i="1"/>
  <c r="E261" i="1" s="1"/>
  <c r="G261" i="1" s="1"/>
  <c r="D90" i="1"/>
  <c r="E89" i="1"/>
  <c r="E260" i="1" s="1"/>
  <c r="G260" i="1" s="1"/>
  <c r="D89" i="1"/>
  <c r="E88" i="1"/>
  <c r="E259" i="1" s="1"/>
  <c r="G259" i="1" s="1"/>
  <c r="D88" i="1"/>
  <c r="E87" i="1"/>
  <c r="E258" i="1" s="1"/>
  <c r="G258" i="1" s="1"/>
  <c r="D87" i="1"/>
  <c r="E86" i="1"/>
  <c r="E257" i="1" s="1"/>
  <c r="G257" i="1" s="1"/>
  <c r="D86" i="1"/>
  <c r="E85" i="1"/>
  <c r="E256" i="1" s="1"/>
  <c r="G256" i="1" s="1"/>
  <c r="D85" i="1"/>
  <c r="E84" i="1"/>
  <c r="E255" i="1" s="1"/>
  <c r="G255" i="1" s="1"/>
  <c r="D84" i="1"/>
  <c r="E83" i="1"/>
  <c r="E254" i="1" s="1"/>
  <c r="G254" i="1" s="1"/>
  <c r="D83" i="1"/>
  <c r="E82" i="1"/>
  <c r="E253" i="1" s="1"/>
  <c r="G253" i="1" s="1"/>
  <c r="D82" i="1"/>
  <c r="E81" i="1"/>
  <c r="E252" i="1" s="1"/>
  <c r="G252" i="1" s="1"/>
  <c r="D81" i="1"/>
  <c r="E80" i="1"/>
  <c r="E251" i="1" s="1"/>
  <c r="G251" i="1" s="1"/>
  <c r="D80" i="1"/>
  <c r="E79" i="1"/>
  <c r="E250" i="1" s="1"/>
  <c r="G250" i="1" s="1"/>
  <c r="D79" i="1"/>
  <c r="E78" i="1"/>
  <c r="E249" i="1" s="1"/>
  <c r="G249" i="1" s="1"/>
  <c r="D78" i="1"/>
  <c r="E77" i="1"/>
  <c r="E248" i="1" s="1"/>
  <c r="G248" i="1" s="1"/>
  <c r="D77" i="1"/>
  <c r="E76" i="1"/>
  <c r="E247" i="1" s="1"/>
  <c r="G247" i="1" s="1"/>
  <c r="D76" i="1"/>
  <c r="E75" i="1"/>
  <c r="E246" i="1" s="1"/>
  <c r="G246" i="1" s="1"/>
  <c r="D75" i="1"/>
  <c r="E74" i="1"/>
  <c r="E245" i="1" s="1"/>
  <c r="G245" i="1" s="1"/>
  <c r="D74" i="1"/>
  <c r="E73" i="1"/>
  <c r="E244" i="1" s="1"/>
  <c r="G244" i="1" s="1"/>
  <c r="D73" i="1"/>
  <c r="E72" i="1"/>
  <c r="E243" i="1" s="1"/>
  <c r="G243" i="1" s="1"/>
  <c r="D72" i="1"/>
  <c r="E71" i="1"/>
  <c r="E242" i="1" s="1"/>
  <c r="G242" i="1" s="1"/>
  <c r="D71" i="1"/>
  <c r="E70" i="1"/>
  <c r="E241" i="1" s="1"/>
  <c r="G241" i="1" s="1"/>
  <c r="D70" i="1"/>
  <c r="E69" i="1"/>
  <c r="E240" i="1" s="1"/>
  <c r="G240" i="1" s="1"/>
  <c r="D69" i="1"/>
  <c r="F276" i="1" l="1"/>
  <c r="G276" i="1" s="1"/>
  <c r="G186" i="1" s="1"/>
  <c r="F239" i="1"/>
  <c r="G239" i="1" s="1"/>
  <c r="G185" i="1" s="1"/>
  <c r="J78" i="1"/>
  <c r="K78" i="1" s="1"/>
  <c r="F78" i="1" s="1"/>
  <c r="J79" i="1"/>
  <c r="K79" i="1" s="1"/>
  <c r="F79" i="1" s="1"/>
  <c r="G79" i="1" s="1"/>
  <c r="I102" i="1"/>
  <c r="I100" i="1"/>
  <c r="J80" i="1"/>
  <c r="K80" i="1" s="1"/>
  <c r="I101" i="1"/>
  <c r="J77" i="1"/>
  <c r="K77" i="1" s="1"/>
  <c r="G106" i="1"/>
  <c r="L105" i="1"/>
  <c r="G78" i="1"/>
  <c r="J63" i="1"/>
  <c r="K63" i="1" s="1"/>
  <c r="J62" i="1"/>
  <c r="K62" i="1" s="1"/>
  <c r="F62" i="1" s="1"/>
  <c r="G143" i="1"/>
  <c r="G142" i="1"/>
  <c r="G141" i="1"/>
  <c r="G140" i="1"/>
  <c r="G139" i="1"/>
  <c r="G138" i="1"/>
  <c r="G137" i="1"/>
  <c r="G136" i="1"/>
  <c r="G135" i="1"/>
  <c r="G134" i="1"/>
  <c r="G133" i="1"/>
  <c r="G132" i="1"/>
  <c r="G131" i="1"/>
  <c r="G130" i="1"/>
  <c r="G129" i="1"/>
  <c r="G128" i="1"/>
  <c r="G127" i="1"/>
  <c r="G126" i="1"/>
  <c r="G125" i="1"/>
  <c r="G124" i="1"/>
  <c r="G123" i="1"/>
  <c r="G122" i="1"/>
  <c r="G121" i="1"/>
  <c r="G120" i="1"/>
  <c r="G119" i="1"/>
  <c r="G118" i="1"/>
  <c r="G117" i="1"/>
  <c r="G116" i="1"/>
  <c r="G115" i="1"/>
  <c r="G114" i="1"/>
  <c r="G113" i="1"/>
  <c r="G112" i="1"/>
  <c r="G111" i="1"/>
  <c r="G110" i="1"/>
  <c r="G109" i="1"/>
  <c r="G108" i="1"/>
  <c r="G107" i="1"/>
  <c r="I47" i="1"/>
  <c r="I46" i="1"/>
  <c r="I45" i="1"/>
  <c r="I44" i="1"/>
  <c r="I43" i="1"/>
  <c r="I42" i="1"/>
  <c r="J177" i="1"/>
  <c r="K177" i="1" s="1"/>
  <c r="H13" i="1" l="1"/>
  <c r="D119" i="4"/>
  <c r="H14" i="1"/>
  <c r="D120" i="4"/>
  <c r="F177" i="1"/>
  <c r="G177" i="1" s="1"/>
  <c r="F77" i="1"/>
  <c r="G77" i="1" s="1"/>
  <c r="F63" i="1"/>
  <c r="G63" i="1" s="1"/>
  <c r="F80" i="1"/>
  <c r="G80" i="1" s="1"/>
  <c r="F105" i="1"/>
  <c r="G105" i="1" s="1"/>
  <c r="G14" i="1" s="1"/>
  <c r="F56" i="4" s="1"/>
  <c r="D56" i="4" s="1"/>
  <c r="E56" i="4" s="1"/>
  <c r="I85" i="1"/>
  <c r="I82" i="1"/>
  <c r="I86" i="1"/>
  <c r="J101" i="1"/>
  <c r="K101" i="1" s="1"/>
  <c r="I81" i="1"/>
  <c r="I83" i="1"/>
  <c r="I84" i="1"/>
  <c r="J102" i="1"/>
  <c r="K102" i="1" s="1"/>
  <c r="G62" i="1"/>
  <c r="J46" i="1"/>
  <c r="K46" i="1" s="1"/>
  <c r="J42" i="1"/>
  <c r="K42" i="1" s="1"/>
  <c r="J44" i="1"/>
  <c r="K44" i="1" s="1"/>
  <c r="J45" i="1"/>
  <c r="K45" i="1" s="1"/>
  <c r="J43" i="1"/>
  <c r="K43" i="1" s="1"/>
  <c r="J47" i="1"/>
  <c r="K47" i="1" s="1"/>
  <c r="I37" i="1"/>
  <c r="I35" i="1"/>
  <c r="I36" i="1"/>
  <c r="F45" i="1" l="1"/>
  <c r="G45" i="1" s="1"/>
  <c r="F44" i="1"/>
  <c r="G44" i="1" s="1"/>
  <c r="F47" i="1"/>
  <c r="G47" i="1" s="1"/>
  <c r="F42" i="1"/>
  <c r="G42" i="1" s="1"/>
  <c r="F43" i="1"/>
  <c r="G43" i="1" s="1"/>
  <c r="F46" i="1"/>
  <c r="G46" i="1" s="1"/>
  <c r="F102" i="1"/>
  <c r="G102" i="1" s="1"/>
  <c r="F101" i="1"/>
  <c r="G101" i="1" s="1"/>
  <c r="E120" i="4"/>
  <c r="F120" i="4" s="1"/>
  <c r="I75" i="1"/>
  <c r="I74" i="1"/>
  <c r="I76" i="1"/>
  <c r="J76" i="1" s="1"/>
  <c r="K76" i="1" s="1"/>
  <c r="J69" i="1"/>
  <c r="K69" i="1" s="1"/>
  <c r="J86" i="1"/>
  <c r="K86" i="1" s="1"/>
  <c r="J81" i="1"/>
  <c r="K81" i="1" s="1"/>
  <c r="J83" i="1"/>
  <c r="K83" i="1" s="1"/>
  <c r="J82" i="1"/>
  <c r="K82" i="1" s="1"/>
  <c r="J85" i="1"/>
  <c r="K85" i="1" s="1"/>
  <c r="J84" i="1"/>
  <c r="K84" i="1" s="1"/>
  <c r="I34" i="1"/>
  <c r="I33" i="1"/>
  <c r="I72" i="1" s="1"/>
  <c r="I32" i="1"/>
  <c r="I71" i="1" s="1"/>
  <c r="I31" i="1"/>
  <c r="I70" i="1" s="1"/>
  <c r="J37" i="1"/>
  <c r="K37" i="1" s="1"/>
  <c r="J36" i="1"/>
  <c r="K36" i="1" s="1"/>
  <c r="J35" i="1"/>
  <c r="K35" i="1" s="1"/>
  <c r="F76" i="1" l="1"/>
  <c r="G76" i="1" s="1"/>
  <c r="F35" i="1"/>
  <c r="G35" i="1" s="1"/>
  <c r="F81" i="1"/>
  <c r="G81" i="1" s="1"/>
  <c r="F36" i="1"/>
  <c r="G36" i="1" s="1"/>
  <c r="F82" i="1"/>
  <c r="G82" i="1" s="1"/>
  <c r="F86" i="1"/>
  <c r="G86" i="1" s="1"/>
  <c r="G37" i="1"/>
  <c r="F37" i="1"/>
  <c r="F69" i="1"/>
  <c r="G69" i="1" s="1"/>
  <c r="F85" i="1"/>
  <c r="G85" i="1" s="1"/>
  <c r="J31" i="1"/>
  <c r="K31" i="1" s="1"/>
  <c r="F84" i="1"/>
  <c r="G84" i="1" s="1"/>
  <c r="F83" i="1"/>
  <c r="G83" i="1" s="1"/>
  <c r="J75" i="1"/>
  <c r="K75" i="1" s="1"/>
  <c r="J74" i="1"/>
  <c r="K74" i="1" s="1"/>
  <c r="I73" i="1"/>
  <c r="J32" i="1"/>
  <c r="K32" i="1" s="1"/>
  <c r="J33" i="1"/>
  <c r="K33" i="1" s="1"/>
  <c r="J34" i="1"/>
  <c r="K34" i="1" s="1"/>
  <c r="J147" i="1"/>
  <c r="K147" i="1" s="1"/>
  <c r="F147" i="1" s="1"/>
  <c r="J30" i="1"/>
  <c r="K30" i="1" s="1"/>
  <c r="J176" i="1"/>
  <c r="K176" i="1" s="1"/>
  <c r="J175" i="1"/>
  <c r="K175" i="1" s="1"/>
  <c r="F175" i="1" s="1"/>
  <c r="G175" i="1" s="1"/>
  <c r="J174" i="1"/>
  <c r="K174" i="1" s="1"/>
  <c r="F174" i="1" s="1"/>
  <c r="G174" i="1" s="1"/>
  <c r="J173" i="1"/>
  <c r="K173" i="1" s="1"/>
  <c r="F173" i="1" s="1"/>
  <c r="G173" i="1" s="1"/>
  <c r="J172" i="1"/>
  <c r="K172" i="1" s="1"/>
  <c r="F172" i="1" s="1"/>
  <c r="G172" i="1" s="1"/>
  <c r="J171" i="1"/>
  <c r="K171" i="1" s="1"/>
  <c r="F171" i="1" s="1"/>
  <c r="G171" i="1" s="1"/>
  <c r="J170" i="1"/>
  <c r="K170" i="1" s="1"/>
  <c r="F170" i="1" s="1"/>
  <c r="G170" i="1" s="1"/>
  <c r="J169" i="1"/>
  <c r="K169" i="1" s="1"/>
  <c r="J168" i="1"/>
  <c r="K168" i="1" s="1"/>
  <c r="J167" i="1"/>
  <c r="K167" i="1" s="1"/>
  <c r="J166" i="1"/>
  <c r="K166" i="1" s="1"/>
  <c r="F166" i="1" s="1"/>
  <c r="J165" i="1"/>
  <c r="K165" i="1" s="1"/>
  <c r="F165" i="1" s="1"/>
  <c r="J164" i="1"/>
  <c r="K164" i="1" s="1"/>
  <c r="J163" i="1"/>
  <c r="K163" i="1" s="1"/>
  <c r="J162" i="1"/>
  <c r="K162" i="1" s="1"/>
  <c r="J161" i="1"/>
  <c r="K161" i="1" s="1"/>
  <c r="J160" i="1"/>
  <c r="K160" i="1" s="1"/>
  <c r="J159" i="1"/>
  <c r="K159" i="1" s="1"/>
  <c r="J158" i="1"/>
  <c r="K158" i="1" s="1"/>
  <c r="J157" i="1"/>
  <c r="K157" i="1" s="1"/>
  <c r="J156" i="1"/>
  <c r="K156" i="1" s="1"/>
  <c r="J155" i="1"/>
  <c r="K155" i="1" s="1"/>
  <c r="F155" i="1" s="1"/>
  <c r="J154" i="1"/>
  <c r="K154" i="1" s="1"/>
  <c r="F154" i="1" s="1"/>
  <c r="J153" i="1"/>
  <c r="K153" i="1" s="1"/>
  <c r="F153" i="1" s="1"/>
  <c r="J152" i="1"/>
  <c r="K152" i="1" s="1"/>
  <c r="J151" i="1"/>
  <c r="K151" i="1" s="1"/>
  <c r="J150" i="1"/>
  <c r="K150" i="1" s="1"/>
  <c r="J149" i="1"/>
  <c r="K149" i="1" s="1"/>
  <c r="J148" i="1"/>
  <c r="K148" i="1" s="1"/>
  <c r="J41" i="1"/>
  <c r="K41" i="1" s="1"/>
  <c r="J40" i="1"/>
  <c r="K40" i="1" s="1"/>
  <c r="J39" i="1"/>
  <c r="K39" i="1" s="1"/>
  <c r="J38" i="1"/>
  <c r="K38" i="1" s="1"/>
  <c r="G176" i="2"/>
  <c r="G175" i="2"/>
  <c r="G174" i="2"/>
  <c r="G173" i="2"/>
  <c r="G172" i="2"/>
  <c r="G171" i="2"/>
  <c r="G170" i="2"/>
  <c r="G169" i="2"/>
  <c r="G168" i="2"/>
  <c r="G167" i="2"/>
  <c r="G166" i="2"/>
  <c r="G165" i="2"/>
  <c r="G164" i="2"/>
  <c r="G163" i="2"/>
  <c r="G162" i="2"/>
  <c r="F31" i="1" l="1"/>
  <c r="G31" i="1" s="1"/>
  <c r="F39" i="1"/>
  <c r="G39" i="1" s="1"/>
  <c r="F157" i="1"/>
  <c r="G157" i="1" s="1"/>
  <c r="F169" i="1"/>
  <c r="G169" i="1" s="1"/>
  <c r="F32" i="1"/>
  <c r="G32" i="1" s="1"/>
  <c r="F30" i="1"/>
  <c r="G30" i="1" s="1"/>
  <c r="F40" i="1"/>
  <c r="G40" i="1" s="1"/>
  <c r="F158" i="1"/>
  <c r="G158" i="1" s="1"/>
  <c r="F41" i="1"/>
  <c r="G41" i="1" s="1"/>
  <c r="G151" i="1"/>
  <c r="F151" i="1"/>
  <c r="F159" i="1"/>
  <c r="G159" i="1" s="1"/>
  <c r="F163" i="1"/>
  <c r="G163" i="1" s="1"/>
  <c r="F167" i="1"/>
  <c r="G167" i="1" s="1"/>
  <c r="G34" i="1"/>
  <c r="F34" i="1"/>
  <c r="F74" i="1"/>
  <c r="G74" i="1" s="1"/>
  <c r="F149" i="1"/>
  <c r="G149" i="1" s="1"/>
  <c r="F161" i="1"/>
  <c r="G161" i="1" s="1"/>
  <c r="F150" i="1"/>
  <c r="G150" i="1" s="1"/>
  <c r="F162" i="1"/>
  <c r="G162" i="1" s="1"/>
  <c r="F38" i="1"/>
  <c r="G38" i="1" s="1"/>
  <c r="F148" i="1"/>
  <c r="G148" i="1" s="1"/>
  <c r="F152" i="1"/>
  <c r="G152" i="1" s="1"/>
  <c r="F156" i="1"/>
  <c r="G156" i="1" s="1"/>
  <c r="F160" i="1"/>
  <c r="G160" i="1" s="1"/>
  <c r="F164" i="1"/>
  <c r="G164" i="1" s="1"/>
  <c r="G168" i="1"/>
  <c r="F168" i="1"/>
  <c r="F176" i="1"/>
  <c r="G176" i="1" s="1"/>
  <c r="F33" i="1"/>
  <c r="G33" i="1" s="1"/>
  <c r="F75" i="1"/>
  <c r="G75" i="1" s="1"/>
  <c r="J70" i="1"/>
  <c r="K70" i="1" s="1"/>
  <c r="F70" i="1" s="1"/>
  <c r="G70" i="1" s="1"/>
  <c r="J73" i="1"/>
  <c r="K73" i="1" s="1"/>
  <c r="G147" i="1"/>
  <c r="L146" i="1"/>
  <c r="J71" i="1"/>
  <c r="K71" i="1" s="1"/>
  <c r="J72" i="1"/>
  <c r="K72" i="1" s="1"/>
  <c r="G165" i="1"/>
  <c r="G166" i="1"/>
  <c r="F72" i="1" l="1"/>
  <c r="G72" i="1" s="1"/>
  <c r="F71" i="1"/>
  <c r="G71" i="1" s="1"/>
  <c r="F73" i="1"/>
  <c r="G73" i="1" s="1"/>
  <c r="G64" i="2"/>
  <c r="G159" i="2"/>
  <c r="G158" i="2"/>
  <c r="G157" i="2"/>
  <c r="G156" i="2"/>
  <c r="G155" i="2"/>
  <c r="G154" i="2"/>
  <c r="G153" i="2"/>
  <c r="G152" i="2"/>
  <c r="G151" i="2"/>
  <c r="G150" i="2"/>
  <c r="G149" i="2"/>
  <c r="G148" i="2"/>
  <c r="G147" i="2"/>
  <c r="G146" i="2"/>
  <c r="G145" i="2"/>
  <c r="G144" i="2"/>
  <c r="G143" i="2"/>
  <c r="G142" i="2"/>
  <c r="G141" i="2"/>
  <c r="G140" i="2"/>
  <c r="G139" i="2"/>
  <c r="G138" i="2"/>
  <c r="G137" i="2"/>
  <c r="G136" i="2"/>
  <c r="G135" i="2"/>
  <c r="G134" i="2"/>
  <c r="G133" i="2"/>
  <c r="G132" i="2"/>
  <c r="G131" i="2"/>
  <c r="G130" i="2"/>
  <c r="G129" i="2"/>
  <c r="G128" i="2"/>
  <c r="G127" i="2"/>
  <c r="G126" i="2"/>
  <c r="G125" i="2"/>
  <c r="G124" i="2"/>
  <c r="G123" i="2"/>
  <c r="G122" i="2"/>
  <c r="G121" i="2"/>
  <c r="G120" i="2"/>
  <c r="G119" i="2"/>
  <c r="G118" i="2"/>
  <c r="G117" i="2"/>
  <c r="G116" i="2"/>
  <c r="G115" i="2"/>
  <c r="G114" i="2"/>
  <c r="G113" i="2"/>
  <c r="G112" i="2"/>
  <c r="G111" i="2"/>
  <c r="G110" i="2"/>
  <c r="G109" i="2"/>
  <c r="G108" i="2"/>
  <c r="G107" i="2"/>
  <c r="G106" i="2"/>
  <c r="G105" i="2"/>
  <c r="G104" i="2"/>
  <c r="G103" i="2"/>
  <c r="G102" i="2"/>
  <c r="G101" i="2"/>
  <c r="G100" i="2"/>
  <c r="G99" i="2"/>
  <c r="G98" i="2"/>
  <c r="G97" i="2"/>
  <c r="G96" i="2"/>
  <c r="G95" i="2"/>
  <c r="G94" i="2"/>
  <c r="G93" i="2"/>
  <c r="G92" i="2"/>
  <c r="G91" i="2"/>
  <c r="G90" i="2"/>
  <c r="G89" i="2"/>
  <c r="G88" i="2"/>
  <c r="G87" i="2"/>
  <c r="G86" i="2"/>
  <c r="G85" i="2"/>
  <c r="G84" i="2"/>
  <c r="G83" i="2"/>
  <c r="G82" i="2"/>
  <c r="G81" i="2"/>
  <c r="G80" i="2"/>
  <c r="G79" i="2"/>
  <c r="G78" i="2"/>
  <c r="G77" i="2"/>
  <c r="G76" i="2"/>
  <c r="G75" i="2"/>
  <c r="G74" i="2"/>
  <c r="G73" i="2"/>
  <c r="G72" i="2"/>
  <c r="G71" i="2"/>
  <c r="G70" i="2"/>
  <c r="G69" i="2"/>
  <c r="G68" i="2"/>
  <c r="G67" i="2"/>
  <c r="G66" i="2"/>
  <c r="G65" i="2"/>
  <c r="I59" i="1"/>
  <c r="H62" i="2" l="1"/>
  <c r="F25" i="4" s="1"/>
  <c r="D25" i="4" s="1"/>
  <c r="I98" i="1"/>
  <c r="J98" i="1"/>
  <c r="K98" i="1" s="1"/>
  <c r="J59" i="1"/>
  <c r="K59" i="1" s="1"/>
  <c r="D92" i="4" l="1"/>
  <c r="E92" i="4" s="1"/>
  <c r="F92" i="4" s="1"/>
  <c r="E25" i="4"/>
  <c r="F59" i="1"/>
  <c r="G59" i="1" s="1"/>
  <c r="F98" i="1"/>
  <c r="G98" i="1" s="1"/>
  <c r="G59" i="2"/>
  <c r="G58" i="2"/>
  <c r="G57" i="2"/>
  <c r="G56" i="2"/>
  <c r="G55" i="2"/>
  <c r="G54" i="2"/>
  <c r="G53" i="2"/>
  <c r="G52" i="2"/>
  <c r="G51" i="2"/>
  <c r="G50" i="2"/>
  <c r="G44" i="2"/>
  <c r="G43" i="2"/>
  <c r="G42" i="2"/>
  <c r="G41" i="2"/>
  <c r="G40" i="2"/>
  <c r="G39" i="2"/>
  <c r="G38" i="2"/>
  <c r="G37" i="2"/>
  <c r="G36" i="2"/>
  <c r="D35" i="2"/>
  <c r="G35" i="2" s="1"/>
  <c r="H33" i="2" s="1"/>
  <c r="F23" i="4" s="1"/>
  <c r="D23" i="4" s="1"/>
  <c r="G29" i="2"/>
  <c r="G27" i="2"/>
  <c r="G26" i="2"/>
  <c r="G25" i="2"/>
  <c r="G24" i="2"/>
  <c r="G23" i="2"/>
  <c r="G22" i="2"/>
  <c r="G21" i="2"/>
  <c r="G20" i="2"/>
  <c r="E23" i="4" l="1"/>
  <c r="D90" i="4"/>
  <c r="E90" i="4" s="1"/>
  <c r="F90" i="4" s="1"/>
  <c r="H48" i="2"/>
  <c r="F24" i="4" s="1"/>
  <c r="D24" i="4" s="1"/>
  <c r="H18" i="2"/>
  <c r="F22" i="4" s="1"/>
  <c r="D22" i="4" s="1"/>
  <c r="G14" i="2"/>
  <c r="G13" i="2"/>
  <c r="G12" i="2"/>
  <c r="G11" i="2"/>
  <c r="G10" i="2"/>
  <c r="G9" i="2"/>
  <c r="G8" i="2"/>
  <c r="G7" i="2"/>
  <c r="G6" i="2"/>
  <c r="D91" i="4" l="1"/>
  <c r="E91" i="4" s="1"/>
  <c r="F91" i="4" s="1"/>
  <c r="E24" i="4"/>
  <c r="D89" i="4"/>
  <c r="E89" i="4" s="1"/>
  <c r="F89" i="4" s="1"/>
  <c r="E22" i="4"/>
  <c r="H4" i="2"/>
  <c r="F21" i="4" s="1"/>
  <c r="I56" i="1"/>
  <c r="I55" i="1"/>
  <c r="I54" i="1"/>
  <c r="I53" i="1"/>
  <c r="I52" i="1"/>
  <c r="I51" i="1"/>
  <c r="I50" i="1"/>
  <c r="I49" i="1"/>
  <c r="I48" i="1"/>
  <c r="D21" i="4" l="1"/>
  <c r="G21" i="4"/>
  <c r="H2" i="2"/>
  <c r="I90" i="1"/>
  <c r="J90" i="1" s="1"/>
  <c r="K90" i="1" s="1"/>
  <c r="I87" i="1"/>
  <c r="I95" i="1"/>
  <c r="I88" i="1"/>
  <c r="I94" i="1"/>
  <c r="I91" i="1"/>
  <c r="I92" i="1"/>
  <c r="J92" i="1" s="1"/>
  <c r="K92" i="1" s="1"/>
  <c r="I89" i="1"/>
  <c r="I93" i="1"/>
  <c r="J93" i="1" s="1"/>
  <c r="K93" i="1" s="1"/>
  <c r="J87" i="1"/>
  <c r="K87" i="1" s="1"/>
  <c r="F87" i="1" s="1"/>
  <c r="J95" i="1"/>
  <c r="K95" i="1" s="1"/>
  <c r="J94" i="1"/>
  <c r="K94" i="1" s="1"/>
  <c r="J51" i="1"/>
  <c r="K51" i="1" s="1"/>
  <c r="J55" i="1"/>
  <c r="K55" i="1" s="1"/>
  <c r="J48" i="1"/>
  <c r="K48" i="1" s="1"/>
  <c r="J52" i="1"/>
  <c r="K52" i="1" s="1"/>
  <c r="J56" i="1"/>
  <c r="K56" i="1" s="1"/>
  <c r="J49" i="1"/>
  <c r="K49" i="1" s="1"/>
  <c r="J53" i="1"/>
  <c r="K53" i="1" s="1"/>
  <c r="J50" i="1"/>
  <c r="K50" i="1" s="1"/>
  <c r="J54" i="1"/>
  <c r="K54" i="1" s="1"/>
  <c r="I60" i="1"/>
  <c r="I58" i="1"/>
  <c r="I57" i="1"/>
  <c r="I27" i="1" l="1"/>
  <c r="I26" i="1"/>
  <c r="K26" i="1" s="1"/>
  <c r="F26" i="1" s="1"/>
  <c r="G26" i="1" s="1"/>
  <c r="G9" i="1" s="1"/>
  <c r="E21" i="4"/>
  <c r="D88" i="4"/>
  <c r="F92" i="1"/>
  <c r="G92" i="1" s="1"/>
  <c r="F56" i="1"/>
  <c r="G56" i="1" s="1"/>
  <c r="F51" i="1"/>
  <c r="G51" i="1" s="1"/>
  <c r="F95" i="1"/>
  <c r="G95" i="1" s="1"/>
  <c r="F50" i="1"/>
  <c r="G50" i="1" s="1"/>
  <c r="F52" i="1"/>
  <c r="G52" i="1" s="1"/>
  <c r="F93" i="1"/>
  <c r="G93" i="1" s="1"/>
  <c r="F53" i="1"/>
  <c r="G53" i="1" s="1"/>
  <c r="F48" i="1"/>
  <c r="G48" i="1" s="1"/>
  <c r="F94" i="1"/>
  <c r="G94" i="1" s="1"/>
  <c r="F90" i="1"/>
  <c r="G90" i="1" s="1"/>
  <c r="F54" i="1"/>
  <c r="G54" i="1" s="1"/>
  <c r="F49" i="1"/>
  <c r="G49" i="1" s="1"/>
  <c r="F55" i="1"/>
  <c r="G55" i="1" s="1"/>
  <c r="J88" i="1"/>
  <c r="K88" i="1" s="1"/>
  <c r="J89" i="1"/>
  <c r="K89" i="1" s="1"/>
  <c r="I96" i="1"/>
  <c r="I97" i="1"/>
  <c r="I99" i="1"/>
  <c r="J91" i="1"/>
  <c r="K91" i="1" s="1"/>
  <c r="G87" i="1"/>
  <c r="K27" i="1"/>
  <c r="F27" i="1" s="1"/>
  <c r="J100" i="1"/>
  <c r="K100" i="1" s="1"/>
  <c r="J60" i="1"/>
  <c r="K60" i="1" s="1"/>
  <c r="J61" i="1"/>
  <c r="K61" i="1" s="1"/>
  <c r="J57" i="1"/>
  <c r="K57" i="1" s="1"/>
  <c r="J58" i="1"/>
  <c r="K58" i="1" s="1"/>
  <c r="E153" i="1"/>
  <c r="E324" i="1" s="1"/>
  <c r="G324" i="1" s="1"/>
  <c r="E88" i="4" l="1"/>
  <c r="F88" i="4"/>
  <c r="G88" i="4" s="1"/>
  <c r="F61" i="1"/>
  <c r="G61" i="1" s="1"/>
  <c r="F60" i="1"/>
  <c r="G60" i="1" s="1"/>
  <c r="F91" i="1"/>
  <c r="G91" i="1" s="1"/>
  <c r="F89" i="1"/>
  <c r="G89" i="1" s="1"/>
  <c r="F58" i="1"/>
  <c r="G58" i="1" s="1"/>
  <c r="F100" i="1"/>
  <c r="G100" i="1" s="1"/>
  <c r="F88" i="1"/>
  <c r="G88" i="1" s="1"/>
  <c r="F57" i="1"/>
  <c r="G57" i="1" s="1"/>
  <c r="J99" i="1"/>
  <c r="K99" i="1" s="1"/>
  <c r="J97" i="1"/>
  <c r="K97" i="1" s="1"/>
  <c r="J96" i="1"/>
  <c r="K96" i="1" s="1"/>
  <c r="G153" i="1"/>
  <c r="E154" i="1"/>
  <c r="E325" i="1" s="1"/>
  <c r="G325" i="1" s="1"/>
  <c r="I198" i="1" l="1"/>
  <c r="K198" i="1" s="1"/>
  <c r="F198" i="1" s="1"/>
  <c r="G198" i="1" s="1"/>
  <c r="G183" i="1" s="1"/>
  <c r="H10" i="1" s="1"/>
  <c r="I197" i="1"/>
  <c r="K197" i="1" s="1"/>
  <c r="F197" i="1" s="1"/>
  <c r="G197" i="1" s="1"/>
  <c r="G182" i="1" s="1"/>
  <c r="H9" i="1" s="1"/>
  <c r="F28" i="1"/>
  <c r="G28" i="1" s="1"/>
  <c r="G11" i="1" s="1"/>
  <c r="F26" i="4" s="1"/>
  <c r="D26" i="4" s="1"/>
  <c r="D28" i="4" s="1"/>
  <c r="F97" i="1"/>
  <c r="G97" i="1" s="1"/>
  <c r="F99" i="1"/>
  <c r="G99" i="1" s="1"/>
  <c r="F96" i="1"/>
  <c r="G96" i="1" s="1"/>
  <c r="L68" i="1"/>
  <c r="G154" i="1"/>
  <c r="G27" i="1"/>
  <c r="E26" i="4"/>
  <c r="E28" i="4" s="1"/>
  <c r="E155" i="1"/>
  <c r="E326" i="1" s="1"/>
  <c r="G326" i="1" s="1"/>
  <c r="F317" i="1" s="1"/>
  <c r="G317" i="1" s="1"/>
  <c r="G187" i="1" s="1"/>
  <c r="H24" i="1" l="1"/>
  <c r="G26" i="4"/>
  <c r="G28" i="4" s="1"/>
  <c r="H15" i="1"/>
  <c r="H17" i="1" s="1"/>
  <c r="H18" i="1" s="1"/>
  <c r="H19" i="1" s="1"/>
  <c r="D121" i="4"/>
  <c r="F68" i="1"/>
  <c r="G68" i="1" s="1"/>
  <c r="G13" i="1" s="1"/>
  <c r="F55" i="4" s="1"/>
  <c r="D55" i="4" s="1"/>
  <c r="E55" i="4" s="1"/>
  <c r="G10" i="1"/>
  <c r="D95" i="4"/>
  <c r="E93" i="4"/>
  <c r="E95" i="4" s="1"/>
  <c r="G155" i="1"/>
  <c r="F146" i="1" s="1"/>
  <c r="G146" i="1" l="1"/>
  <c r="G15" i="1" s="1"/>
  <c r="E119" i="4"/>
  <c r="F93" i="4"/>
  <c r="G93" i="4" s="1"/>
  <c r="G95" i="4" s="1"/>
  <c r="G17" i="1" l="1"/>
  <c r="G18" i="1" s="1"/>
  <c r="G19" i="1" s="1"/>
  <c r="F57" i="4"/>
  <c r="D57" i="4" s="1"/>
  <c r="E57" i="4" s="1"/>
  <c r="G189" i="1"/>
  <c r="G190" i="1" s="1"/>
  <c r="G191" i="1" s="1"/>
  <c r="F119" i="4"/>
  <c r="G55" i="4" l="1"/>
  <c r="G59" i="4" s="1"/>
  <c r="E121" i="4"/>
  <c r="D123" i="4"/>
  <c r="F121" i="4" l="1"/>
  <c r="G119" i="4" s="1"/>
  <c r="G123" i="4" s="1"/>
  <c r="E123" i="4"/>
</calcChain>
</file>

<file path=xl/sharedStrings.xml><?xml version="1.0" encoding="utf-8"?>
<sst xmlns="http://schemas.openxmlformats.org/spreadsheetml/2006/main" count="1759" uniqueCount="792">
  <si>
    <t>LINEA MITRE</t>
  </si>
  <si>
    <r>
      <rPr>
        <b/>
        <u/>
        <sz val="11"/>
        <color theme="1"/>
        <rFont val="Calibri"/>
        <family val="2"/>
        <scheme val="minor"/>
      </rPr>
      <t>ANEXO I</t>
    </r>
    <r>
      <rPr>
        <b/>
        <sz val="11"/>
        <color theme="1"/>
        <rFont val="Calibri"/>
        <family val="2"/>
        <scheme val="minor"/>
      </rPr>
      <t>: Planilla de Cotización</t>
    </r>
  </si>
  <si>
    <t>Descripción</t>
  </si>
  <si>
    <t>UM</t>
  </si>
  <si>
    <t>Cant</t>
  </si>
  <si>
    <t>Precio Total</t>
  </si>
  <si>
    <t>1.01</t>
  </si>
  <si>
    <t>mes</t>
  </si>
  <si>
    <t>1.02</t>
  </si>
  <si>
    <t>2.01</t>
  </si>
  <si>
    <t>2.02</t>
  </si>
  <si>
    <t>2.03</t>
  </si>
  <si>
    <t>Tareas sobre demanda - Mantenimiento Integral</t>
  </si>
  <si>
    <t>m2</t>
  </si>
  <si>
    <t>Trabajos de cerrajería</t>
  </si>
  <si>
    <t>Trabajos en Solados</t>
  </si>
  <si>
    <t>Trabajos en Revestimientos</t>
  </si>
  <si>
    <t>Reposición de Vidrios 3+3</t>
  </si>
  <si>
    <t>Reposición de Vidrios 4+4</t>
  </si>
  <si>
    <t>Reposición de Vidrios 5+5</t>
  </si>
  <si>
    <t>Reposición de Vidrio Reforzado</t>
  </si>
  <si>
    <t>Reemplazo de Alfombras</t>
  </si>
  <si>
    <t xml:space="preserve">Mantenimiento y Recarga de los sistemas de FM200 </t>
  </si>
  <si>
    <t>kg</t>
  </si>
  <si>
    <t>Provisión y Colocación de Refrigerantes</t>
  </si>
  <si>
    <t>Provisión e Instalación de motores y compresores</t>
  </si>
  <si>
    <t>un</t>
  </si>
  <si>
    <t>Reemplazo de Baterías y Pilas</t>
  </si>
  <si>
    <t>Operativo de Izaje de personal y equipos para mantenimiento de tendidos y equipamiento multimedia</t>
  </si>
  <si>
    <t>Operativo nocturnos de Limpieza en altura (techos de halles, patio de carruaje)</t>
  </si>
  <si>
    <t>SUBTOTAL SIN IVA</t>
  </si>
  <si>
    <t>IVA 21%</t>
  </si>
  <si>
    <t>TOTAL</t>
  </si>
  <si>
    <t>DDNP1501 - Philips DIN Network Pwr Supply 15V1.5A</t>
  </si>
  <si>
    <t>u</t>
  </si>
  <si>
    <t>DUS704W-MB - Philips Universal Sensor Wall Mount long range lense</t>
  </si>
  <si>
    <t>DPN941 - Philips Botonera Industrial 4 botones Classic Series</t>
  </si>
  <si>
    <t>Philips EnvisionGateway 10/100 Base T</t>
  </si>
  <si>
    <t>$/U$S</t>
  </si>
  <si>
    <t>Detector térmico direccionable y analógico FST-851R</t>
  </si>
  <si>
    <t>Detector algorítmico de doble tecnología (óptico/térmico) Acclimate direccionable y analógico de bajo perfil FAPT-851</t>
  </si>
  <si>
    <t>Base universal p/detectores direccionables y analógicos de bajo perfil. B-501</t>
  </si>
  <si>
    <t xml:space="preserve"> Avisador manual de doble acción c/registro de operación. NBG-12LSP</t>
  </si>
  <si>
    <t>Mini módulo direccionable para monitoreo de avisador manual. FMM-101</t>
  </si>
  <si>
    <t>Sirena con luz estroboscópica, 12/24 volts, 2 Hilos, roja, montaje de pared, 15, 15/75, 30, 75, 110 o 115 candelas. P2RL-SP</t>
  </si>
  <si>
    <t>Módulo direccionable para comando mediante contacto seco. FRM-1</t>
  </si>
  <si>
    <t>Módulo de aislación. ISO-X</t>
  </si>
  <si>
    <t>Sueldo + II</t>
  </si>
  <si>
    <t xml:space="preserve">Cant </t>
  </si>
  <si>
    <t>REPRESENTANTE TÉCNICO</t>
  </si>
  <si>
    <t>REFERENTE TÉCNICO</t>
  </si>
  <si>
    <t>SUPERVISOR DE MANTENIMIENTO INTEGRAL</t>
  </si>
  <si>
    <t>SUPERVISOR DE LIMPIEZA TÉCNICA</t>
  </si>
  <si>
    <t>PROFESIONAL EN SEGURIDAD E HIGIENE</t>
  </si>
  <si>
    <t>CUADRILLA OPERATIVA PERMANENTE IN SITU</t>
  </si>
  <si>
    <t>TÉCNICO MULTIGREMIO BMS / CAFM / PME / REVIT</t>
  </si>
  <si>
    <t>AUXILIARES DE LIMPIEZA TÉCNICA</t>
  </si>
  <si>
    <t>STAFF LOGÍSTICA / SERVICIOS GENERALES</t>
  </si>
  <si>
    <t>Cant RRHH</t>
  </si>
  <si>
    <t>Mantenimiento Ascensores</t>
  </si>
  <si>
    <t>Plan de SSHH</t>
  </si>
  <si>
    <t>otros 2</t>
  </si>
  <si>
    <t>Ropa y equipos</t>
  </si>
  <si>
    <t>Elementos de seguridad</t>
  </si>
  <si>
    <t>Costo</t>
  </si>
  <si>
    <t>Contrato</t>
  </si>
  <si>
    <t>PC + Impresora</t>
  </si>
  <si>
    <t>Librería</t>
  </si>
  <si>
    <t>Dietas</t>
  </si>
  <si>
    <t>Mobiliario</t>
  </si>
  <si>
    <t>Contenedores equipados</t>
  </si>
  <si>
    <t>otros</t>
  </si>
  <si>
    <t>Precio Unit</t>
  </si>
  <si>
    <t>Sub contratos</t>
  </si>
  <si>
    <t>Sanitaria</t>
  </si>
  <si>
    <t>Material mantenimiento</t>
  </si>
  <si>
    <t>Edilicio</t>
  </si>
  <si>
    <t>Total Gasto</t>
  </si>
  <si>
    <t>Limpieza</t>
  </si>
  <si>
    <t>Precio Unit Material + M de O</t>
  </si>
  <si>
    <t>Relevamiento y dibujo de actualizaciones en planos CAO</t>
  </si>
  <si>
    <t>hs</t>
  </si>
  <si>
    <t>Asesor especializado, a designar por Sofse</t>
  </si>
  <si>
    <t>UPS (Mantenimiento rutina + asistencia 2Hs)</t>
  </si>
  <si>
    <t>TGBT + Blindo Barras</t>
  </si>
  <si>
    <t>Resistencia Termotanque</t>
  </si>
  <si>
    <t>Cámara infrarroja.</t>
  </si>
  <si>
    <t>Telurímetro.</t>
  </si>
  <si>
    <t>Megohmetro.</t>
  </si>
  <si>
    <t>Anemómetro.</t>
  </si>
  <si>
    <t>Aparejo 2000 Kg.</t>
  </si>
  <si>
    <t>Soldadora eléctrica.</t>
  </si>
  <si>
    <t>Manifold de refrigeracionista.</t>
  </si>
  <si>
    <t>Bomba de vacío.</t>
  </si>
  <si>
    <t>Balanza para refrigerante.</t>
  </si>
  <si>
    <t>Máquina para destapes cloacales.</t>
  </si>
  <si>
    <t>Tubo de nitrógeno.</t>
  </si>
  <si>
    <t>Tubo de argón.</t>
  </si>
  <si>
    <t>Equipo de soldadura.</t>
  </si>
  <si>
    <t>Garrafa de gas refrigerante.</t>
  </si>
  <si>
    <t>Soplete de techista.</t>
  </si>
  <si>
    <t>Compresor monofásico 50 lts.2.5 HP.</t>
  </si>
  <si>
    <t>Andamio de aluminio.</t>
  </si>
  <si>
    <t>Taladro 13 mm c/cable.</t>
  </si>
  <si>
    <t>Taladro 10 mm c/batería.</t>
  </si>
  <si>
    <t>Calibre pie de rey.</t>
  </si>
  <si>
    <t>Pinza amperométrica.</t>
  </si>
  <si>
    <t>Tester multímetro.</t>
  </si>
  <si>
    <t>Amoladora angular.</t>
  </si>
  <si>
    <t>Amoladora/ cepillo de banco Ф200mm, 750W.</t>
  </si>
  <si>
    <t>Escaleras p/electricidad de 5 peldaños (2).</t>
  </si>
  <si>
    <t>Escalera p/electricidad de 12 peldaños.</t>
  </si>
  <si>
    <t>Cortador de tubos de cobre.</t>
  </si>
  <si>
    <t>Pestañador de tubos de cobre.</t>
  </si>
  <si>
    <t>Varillas de destapación.</t>
  </si>
  <si>
    <t>Máquina térmica y herramientas para termofusión</t>
  </si>
  <si>
    <t>Soldadora p/ electrónica.</t>
  </si>
  <si>
    <t>Pinzas para terminales hasta 90 mm.</t>
  </si>
  <si>
    <t>Pistola para aplicación de selladores.</t>
  </si>
  <si>
    <t>Juego de llaves fijas milimétricas.</t>
  </si>
  <si>
    <t>Juego de llaves fijas en pulgadas.</t>
  </si>
  <si>
    <t>Juego de llaves “Allen” milimétricas.</t>
  </si>
  <si>
    <t>Juego de llaves “Allen” en pulgadas.</t>
  </si>
  <si>
    <t>Juego de extractores de rodamientos.</t>
  </si>
  <si>
    <t>Morsa No 5.</t>
  </si>
  <si>
    <t>Ventosas de vidriero.</t>
  </si>
  <si>
    <t>Juego de ganzúas.</t>
  </si>
  <si>
    <t>Nivel de burbuja.</t>
  </si>
  <si>
    <t>Nivel laser.</t>
  </si>
  <si>
    <t>Cinta métrica.</t>
  </si>
  <si>
    <t>Termómetro digital.</t>
  </si>
  <si>
    <t>Caja de herramientas.</t>
  </si>
  <si>
    <t>Cinturón portaherramientas.</t>
  </si>
  <si>
    <t>Juego destornilladores planos.</t>
  </si>
  <si>
    <t>Juego destornilladores Phillips.</t>
  </si>
  <si>
    <t>Pinza universal.</t>
  </si>
  <si>
    <t>Alicate.</t>
  </si>
  <si>
    <t>Pinza de punta fina.</t>
  </si>
  <si>
    <t>Sierra.</t>
  </si>
  <si>
    <t>Buscapolo.</t>
  </si>
  <si>
    <t>Martillo.</t>
  </si>
  <si>
    <t>Llave francesa de 8”.</t>
  </si>
  <si>
    <t>Llave francesa de 1”.</t>
  </si>
  <si>
    <t>Desinfectantes.</t>
  </si>
  <si>
    <t>Desmanchantes.</t>
  </si>
  <si>
    <t>Desodorantes en pastilla y ambientales.</t>
  </si>
  <si>
    <t>Desengrasantes.</t>
  </si>
  <si>
    <t>Líquidos limpiavidrios.</t>
  </si>
  <si>
    <t>Jabón de Tocador</t>
  </si>
  <si>
    <t>Elementos para aplicar productos de limpieza</t>
  </si>
  <si>
    <t>Esponjas para lavar lavabos.</t>
  </si>
  <si>
    <t>Esponjas para lavar inodoros.</t>
  </si>
  <si>
    <t>Escobas.</t>
  </si>
  <si>
    <t>Franelas.</t>
  </si>
  <si>
    <t>Trapeadores.</t>
  </si>
  <si>
    <t>Fundas de basura</t>
  </si>
  <si>
    <t>Otros, dependiendo de las necesidades institucionales.</t>
  </si>
  <si>
    <t>Casco de seguridad</t>
  </si>
  <si>
    <t>Botines de seguridad dieléctricos con punta de acero</t>
  </si>
  <si>
    <t>Botas de goma con protección mecánica</t>
  </si>
  <si>
    <t>Equipo de lluvia</t>
  </si>
  <si>
    <t>Faja de protección lumbar elástica</t>
  </si>
  <si>
    <t>Protectores auditivos de copa y endoaurales</t>
  </si>
  <si>
    <t>Arneses de seguridad (para trabajos en la altura y en espacios confinados)</t>
  </si>
  <si>
    <t>Bandolera reflectiva</t>
  </si>
  <si>
    <t>Delantal de cuero</t>
  </si>
  <si>
    <t>Guantes, según la tarea a efectuar:</t>
  </si>
  <si>
    <t xml:space="preserve">Mantenimiento Integral: Guantes EN 388 nivel 3 (norma europea) </t>
  </si>
  <si>
    <t>ANSI nivel 2 (norma estadounidense). Para ciertas tareas de</t>
  </si>
  <si>
    <t>electricidad, guantes dieléctricos.</t>
  </si>
  <si>
    <t>Limpieza Integral: Guantes EN 388 nivel 2 (norma europea) o ANSI</t>
  </si>
  <si>
    <t>nivel 1 (norma estadounidense).</t>
  </si>
  <si>
    <t>Guantes de algodón moteados, guantes amarillos ½ paseo puño corto, guantes de descarne y guantes de goma</t>
  </si>
  <si>
    <t>Barbijos descartables, caretas dieléctricas y máscaras de protección facial</t>
  </si>
  <si>
    <t>Máscaras respiratorias para tareas con exposición a polvos, aerosoles compuestos orgánicos volátiles, tipo 3M, siempre apropiadas al producto a utilizar y asegurando su hermeticidad en el uso.</t>
  </si>
  <si>
    <t xml:space="preserve"> </t>
  </si>
  <si>
    <t>Aspiradoras industriales con filtro EPA (Environmental Protection Agency)</t>
  </si>
  <si>
    <t>Abrillantadora industrial</t>
  </si>
  <si>
    <t>Lavadoras de alfombras industriales (con aserrín o espuma)</t>
  </si>
  <si>
    <t>Carros de limpieza (mínimo 6)</t>
  </si>
  <si>
    <t>Mangueras con rollos</t>
  </si>
  <si>
    <t>Limpiavidrios extensibles</t>
  </si>
  <si>
    <t>Escaleras metálicas extensibles</t>
  </si>
  <si>
    <t>Plataformas elevadoras eléctricas con brazo articulado (mínimo 2)</t>
  </si>
  <si>
    <t>Opcional adicional plataformas tipo tijera y estructuras tubulares</t>
  </si>
  <si>
    <t>Lavadoras automáticas ("fregadoras") con o sin hombre a bordo (mínimo 2)</t>
  </si>
  <si>
    <t>Para fachadas exteriores, brazos articulados a combustible y rampa móvil para camiones (este equipamiento en particular puede ser alquilado por la CONTRATISTA).</t>
  </si>
  <si>
    <t>Conos Rígidos con Cintas Reflectivas (según Ley 24449).</t>
  </si>
  <si>
    <t>Cintas de Demarcación de Peligro.</t>
  </si>
  <si>
    <t>Cadena de Demarcación con soporte para cono.</t>
  </si>
  <si>
    <t>Carteles de Aviso y Desvío con Bandas Reflectivas</t>
  </si>
  <si>
    <t>Equipamiento y consumibles limpieza</t>
  </si>
  <si>
    <t>Costo real</t>
  </si>
  <si>
    <t>Mark up</t>
  </si>
  <si>
    <t>PV</t>
  </si>
  <si>
    <t>Juego de Polipack hasta 250 A</t>
  </si>
  <si>
    <t>Contactor LC 125 A, con modulo 2 Na+2 Nc</t>
  </si>
  <si>
    <t>Contactor LC 160 A, con modulo 2 Na+2 Nc</t>
  </si>
  <si>
    <t>Switch Poe WS-C2960-24PS-L</t>
  </si>
  <si>
    <t>BMS SXW MODULO BASE AUT. SERVER P - AS-P</t>
  </si>
  <si>
    <t>BMS Modulo FUENTE ALIMENTACION PS-24V para AS-P</t>
  </si>
  <si>
    <t>BMS BASE PARA FUENTE PS-24V</t>
  </si>
  <si>
    <t>BMS - B3624 CONTROLADOR BACNET 24 EU</t>
  </si>
  <si>
    <t>BMS - B3800 CONTROLADOR BACNET 16 E/S 8EU 8SD</t>
  </si>
  <si>
    <t>INDICADOR LUMINOSO DE SALIDA DE EMERGENCIA.</t>
  </si>
  <si>
    <t>Artefacto LED 30 x 30 s/pliegos. Con Equipo de Iluminción de Emergencia</t>
  </si>
  <si>
    <t>Parlante Audio 0,5-2W</t>
  </si>
  <si>
    <t>Rociador Mont. K5,6 68°C</t>
  </si>
  <si>
    <t>Detector Foto Ambiente/Cielorraso</t>
  </si>
  <si>
    <t>Evaporadora Bajo Silueta</t>
  </si>
  <si>
    <t>Evaporadora Tipo Cassette</t>
  </si>
  <si>
    <t>ARTEFACTOS DE ILUMINACIÓN DE EMPOTRAR, MODELO TURN ROUND REDONDO, DIAMETRO 85 MM, DE MARCA PHILIPS O CALIDAD SUPERIOR.</t>
  </si>
  <si>
    <t xml:space="preserve">ARTEFACTOS DE ILUMINACIÓN DE EMBUTIR, MODELO SAVIO, 620X620 MM, DE MARCA PHILIPS O CALIDAD SUPERIOR.
</t>
  </si>
  <si>
    <t xml:space="preserve">ARTEFACTOS DE ILUMINACIÓN DE EMBUTIR, MODELO SAVIO, 620X620 MM, DE MARCA PHILIPS O CALIDAD SUPERIOR. CON EQUIPO DE EMERGENCIA.
</t>
  </si>
  <si>
    <t xml:space="preserve">ARTEFACTOS DE ILUMINACIÓN DE APLICAR, MODELO SAVIO, 620X620 MM, DE MARCA PHILIPS O CALIDAD SUPERIOR.
</t>
  </si>
  <si>
    <t>ARTEFACTOS DE ILUMINACIÓN DE APLICAR, MODELO SAVIO, 620X620 MM, DE MARCA PHILIPS O CALIDAD SUPERIOR. CON EQUIPO DE EMERGENCIA.</t>
  </si>
  <si>
    <t xml:space="preserve">ARTEFACTOS DE ILUMINACIÓN DE EMBUTIR, MODELO GREEN SPACE GEN 3, DIAMETRO:203 MM, DE MARCA PHILIPS O CALIDAD SUPERIOR.
</t>
  </si>
  <si>
    <t>ARTEFACTOS DE ILUMINACIÓN DE EMBUTIR, MODELO GREEN SPACE GEN 3, DIAMETRO:203 MM, DE MARCA PHILIPS O CALIDAD SUPERIOR. CON EQUIPO DE EMERGENCIA</t>
  </si>
  <si>
    <t xml:space="preserve">ARTEFACTOS DE ILUMINACIÓN DE APLICAR, MODELO DOBLO BIDIRECCIONAL LED, MARCA LUCCIOLA O CALIDAD SUPERIOR.
</t>
  </si>
  <si>
    <t xml:space="preserve">ARTEFACTOS DE ILUMINACIÓN DE APLICAR EXTERIOR, MODELO GYM 2080. MARCA LUCCIOLA O CALIDAD SUPERIOR. </t>
  </si>
  <si>
    <t>ARTEFACTOS DE ILUMINACIÓN DE APLICAR EXTERIOR, MODELO GYM 2080. MARCA LUCCIOLA O CALIDAD SUPERIOR. CON EQUIPO DE EMERGENCIA</t>
  </si>
  <si>
    <t xml:space="preserve">ARTEFACTOS DE ILUMINACIÓN DE APLICAR, MODELO TMS-P SLIM/LED TUBE, LONGITUD: 1200MM, DE MARCA PHILIPS O CALIDAD SUPERIOR.
</t>
  </si>
  <si>
    <t xml:space="preserve">ARTEFACTOS DE ILUMINACIÓN DE APLICAR, MODELO eW CORE MX Powercore, MEDIDAS: 1200x40mm. MARCA PHILIPS O CALIDAD SUPERIOR.
</t>
  </si>
  <si>
    <t>ARTEFACTOS DE ILUMINACIÓN DE APLICAR, MODELO eW CORE MX Powercore, MEDIDAS: 1200x40mm. MARCA PHILIPS O CALIDAD SUPERIOR. CON EQUIPO DE EMERGENCIA</t>
  </si>
  <si>
    <t>ARTEFACTO DE ILUMINACION DE APLICAR, MODELO SAVIO, 1259X266 MM, MARCA PHILIPS O CALIDAD SUPERIOR</t>
  </si>
  <si>
    <t>ARTEFACTO DE ILUMINACION DE APLICAR, MODELO SAVIO, 1259X266 MM, MARCA PHILIPS O CALIDAD SUPERIOR. CON EQUIPO DE EMERGENCIA</t>
  </si>
  <si>
    <t>ARTEFACTO DE ILUMINACION DE EMBUTIR, MODELO SMARTFORM, línea de luz, TBS417. MARCA PHILIPS O CALIDAD SUPERIOR</t>
  </si>
  <si>
    <t>ARTEFACTO DE ILUMINACION DE EMBUTIR, MODELO SMARTFORM, línea de luz, TBS417. MARCA PHILIPS O CALIDAD SUPERIOR. CON EQUIPO DE EMERGENCIA</t>
  </si>
  <si>
    <t>ARTEFACTO DE ILUMINACIÓN DE COLGAR, MODELO SKIVE, MARCA PHILIPS O CALIDAD SUPERIOR. DIAMETRO:700MM</t>
  </si>
  <si>
    <t>ARTEFACTO DE ILUMINACIÓN DE COLGAR, MODELO SKIVE, MARCA PHILIPS O CALIDAD SUPERIOR. DIAMETRO:700MM. CON EQUIPO DE EMERGENCIA</t>
  </si>
  <si>
    <t>ARTEFACTOS DE ILUMINACIÓN DE APLICAR, MODELO PLAFÓN 31802 LED,  MARCA PHILIPS O CALIDAD SUPERIOR</t>
  </si>
  <si>
    <t>ARTEFACTOS DE ILUMINACIÓN DE APLICAR, MODELO PLAFÓN 31802 LED,  MARCA PHILIPS O CALIDAD SUPERIOR. CON EQUIPO DE EMERGENCIA.</t>
  </si>
  <si>
    <t>Evaporadora de Pared (Split)</t>
  </si>
  <si>
    <t>Mantenimiento Predictivo, Preventivo, correctivo y limpieza</t>
  </si>
  <si>
    <t>Oferta por servicio de Limpieza Tecnica según PET</t>
  </si>
  <si>
    <t>Oferta por servicio de mantenimiento predictivo, preventivo y correctivo, según PET</t>
  </si>
  <si>
    <t>Cielorrasos 20,7,6</t>
  </si>
  <si>
    <t>Pintura según ET, 20,7,5</t>
  </si>
  <si>
    <t>Compresor repuesto Unidad condensadora (uno por cada tipo de unidad)</t>
  </si>
  <si>
    <t>Artefacto LED 30 x 30 s/pliegos</t>
  </si>
  <si>
    <t>Artefacto LED 60 x 60 s/pliegos</t>
  </si>
  <si>
    <t>Artefacto LED 60 x 60 s/pliegos. Con Equipo de Iluminción de Emergencia</t>
  </si>
  <si>
    <t>Tableros Seccional</t>
  </si>
  <si>
    <t>Rociador Pend. K5,6 68°C</t>
  </si>
  <si>
    <t>ROCIADOR SIDEWALL K 5.6 68°C</t>
  </si>
  <si>
    <t>%s/ costo</t>
  </si>
  <si>
    <t>Beneficio</t>
  </si>
  <si>
    <t>Gastos Generales de Sede</t>
  </si>
  <si>
    <t>Impuesto IIBB</t>
  </si>
  <si>
    <t>Impuesto al Cheque</t>
  </si>
  <si>
    <t>Seguros</t>
  </si>
  <si>
    <t>Costos Financieros</t>
  </si>
  <si>
    <t>Sellados</t>
  </si>
  <si>
    <t>Imprevistos</t>
  </si>
  <si>
    <t>Total Mark up</t>
  </si>
  <si>
    <t>Mark Up</t>
  </si>
  <si>
    <t>Totales</t>
  </si>
  <si>
    <t>ANALIS 1er AÑO</t>
  </si>
  <si>
    <t>RRHH Directo e indirecto</t>
  </si>
  <si>
    <t>Ítem</t>
  </si>
  <si>
    <t>Periodo</t>
  </si>
  <si>
    <t>Grupos Electrógenos (Mantenimiento rutina + asistencia 2Hs)</t>
  </si>
  <si>
    <t>Detección y Aviso</t>
  </si>
  <si>
    <t>Termografías, Prueba D Dif, TM y PAT</t>
  </si>
  <si>
    <t>Extinción (Agua y FM200)</t>
  </si>
  <si>
    <t>Desratización y Fumigación</t>
  </si>
  <si>
    <t>Insumos y consumibles</t>
  </si>
  <si>
    <t>Telefonía + Internet</t>
  </si>
  <si>
    <t>Eléctrica</t>
  </si>
  <si>
    <t>Termo Mecánica</t>
  </si>
  <si>
    <t>Detección</t>
  </si>
  <si>
    <t>Iluminaciòn</t>
  </si>
  <si>
    <t>Baterías Iluminaciòn</t>
  </si>
  <si>
    <t>Servicie checker de VRV, con Laptop.</t>
  </si>
  <si>
    <t>Hidro lavadora monofásica, 4 HP, 140 bares, 550 litros/hora.</t>
  </si>
  <si>
    <t>Roto percutor.</t>
  </si>
  <si>
    <t>Pistola paramétrica.</t>
  </si>
  <si>
    <t>Cinta pasa cable.</t>
  </si>
  <si>
    <t>Llave torqui métrica.</t>
  </si>
  <si>
    <t>Lentes de protección ocular anti polvo</t>
  </si>
  <si>
    <t>RC 1</t>
  </si>
  <si>
    <t>RC 2</t>
  </si>
  <si>
    <t>Total parcial</t>
  </si>
  <si>
    <t>Total RC</t>
  </si>
  <si>
    <t>1,01 y 1,02</t>
  </si>
  <si>
    <t>RC 3</t>
  </si>
  <si>
    <t>a</t>
  </si>
  <si>
    <t>b</t>
  </si>
  <si>
    <t>Análisis económico del proyecto Primer año</t>
  </si>
  <si>
    <t>Dado que los precios consultados, calculados y estimados, se realizaron con valores de venta al publico, se inicio el análisis con el estudio del coeficiente de pase de empresa.</t>
  </si>
  <si>
    <t>Formación del Mark Up</t>
  </si>
  <si>
    <t>Análisis económico del proyecto Segundo año</t>
  </si>
  <si>
    <t>c</t>
  </si>
  <si>
    <t>d</t>
  </si>
  <si>
    <r>
      <t>Fuente:</t>
    </r>
    <r>
      <rPr>
        <sz val="8"/>
        <rFont val="Arial"/>
        <family val="2"/>
      </rPr>
      <t xml:space="preserve"> INDEC.</t>
    </r>
  </si>
  <si>
    <r>
      <t>Nota:</t>
    </r>
    <r>
      <rPr>
        <sz val="8"/>
        <color indexed="8"/>
        <rFont val="Arial"/>
        <family val="2"/>
      </rPr>
      <t xml:space="preserve"> se informa que los cuadros publicados que dan cumplimiento al Decreto 1295/2002 del período febrero 2017-julio 2017 (ICC) y enero 2016-julio 2017 (IPIB) contienen datos preliminares.</t>
    </r>
    <r>
      <rPr>
        <sz val="8"/>
        <color indexed="12"/>
        <rFont val="Arial"/>
        <family val="2"/>
      </rPr>
      <t xml:space="preserve"> </t>
    </r>
  </si>
  <si>
    <t>* Dato provisorio.</t>
  </si>
  <si>
    <r>
      <t>(</t>
    </r>
    <r>
      <rPr>
        <vertAlign val="superscript"/>
        <sz val="8"/>
        <rFont val="Arial"/>
        <family val="2"/>
      </rPr>
      <t>2</t>
    </r>
    <r>
      <rPr>
        <sz val="8"/>
        <rFont val="Arial"/>
        <family val="2"/>
      </rPr>
      <t>) Para la presentación de los valores del inciso f) desde el mes de agosto de 2006 se adoptó el promedio ponderado para agrupar los índices de los distintos tipos de alquiler de andamios.</t>
    </r>
  </si>
  <si>
    <r>
      <t>(</t>
    </r>
    <r>
      <rPr>
        <vertAlign val="superscript"/>
        <sz val="8"/>
        <rFont val="Arial"/>
        <family val="2"/>
      </rPr>
      <t>1</t>
    </r>
    <r>
      <rPr>
        <sz val="8"/>
        <rFont val="Arial"/>
        <family val="2"/>
      </rPr>
      <t>) Clasificación Central Provisional de Productos (CPC) elaborada por la ONU.</t>
    </r>
  </si>
  <si>
    <t>Electrobomba trifásica 7,5 HP</t>
  </si>
  <si>
    <t>Electrobombas</t>
  </si>
  <si>
    <t>v)</t>
  </si>
  <si>
    <t>Llave esclusa de bronce</t>
  </si>
  <si>
    <t>Válvulas de bronce</t>
  </si>
  <si>
    <t>u)</t>
  </si>
  <si>
    <t>Hormigón elaborado</t>
  </si>
  <si>
    <t>Cuadro 1.9</t>
  </si>
  <si>
    <t>Hormigón</t>
  </si>
  <si>
    <t>s)</t>
  </si>
  <si>
    <t>Ítem Instalación sanitaria y contra incendio</t>
  </si>
  <si>
    <t>Cuadro 1.5</t>
  </si>
  <si>
    <t>Artefactos para baño y grifería</t>
  </si>
  <si>
    <t>r)</t>
  </si>
  <si>
    <t>Capítulo Gastos generales</t>
  </si>
  <si>
    <t>Cuadro 1.4</t>
  </si>
  <si>
    <t>Gastos generales</t>
  </si>
  <si>
    <t>p)</t>
  </si>
  <si>
    <t>Caños de PVC</t>
  </si>
  <si>
    <t>Caños de PVC para instalaciones varias</t>
  </si>
  <si>
    <t>h)</t>
  </si>
  <si>
    <t>Ítem Instalación eléctrica</t>
  </si>
  <si>
    <t>Artefactos de iluminación y cableado</t>
  </si>
  <si>
    <t>g)</t>
  </si>
  <si>
    <t>Alquiler de Andamios</t>
  </si>
  <si>
    <t>Cuadro 1.6</t>
  </si>
  <si>
    <r>
      <t>Andamios (</t>
    </r>
    <r>
      <rPr>
        <vertAlign val="superscript"/>
        <sz val="8"/>
        <rFont val="Arial"/>
        <family val="2"/>
      </rPr>
      <t>2</t>
    </r>
    <r>
      <rPr>
        <sz val="8"/>
        <rFont val="Arial"/>
        <family val="2"/>
      </rPr>
      <t>)</t>
    </r>
  </si>
  <si>
    <t>f)</t>
  </si>
  <si>
    <t>Ítem Carpintería metálica y herrería</t>
  </si>
  <si>
    <t>Carpinterías</t>
  </si>
  <si>
    <t>d)</t>
  </si>
  <si>
    <t>Ítem albañilería</t>
  </si>
  <si>
    <t>Albañilería</t>
  </si>
  <si>
    <t>b)</t>
  </si>
  <si>
    <t>Capítulo Mano de obra</t>
  </si>
  <si>
    <t>Mano de obra</t>
  </si>
  <si>
    <t>a)</t>
  </si>
  <si>
    <t>Jul*</t>
  </si>
  <si>
    <t>Jun*</t>
  </si>
  <si>
    <t>May*</t>
  </si>
  <si>
    <t>Abr*</t>
  </si>
  <si>
    <t>Mar*</t>
  </si>
  <si>
    <t>Feb*</t>
  </si>
  <si>
    <t>Ene</t>
  </si>
  <si>
    <t>Dic</t>
  </si>
  <si>
    <t>Nov</t>
  </si>
  <si>
    <t>Oct</t>
  </si>
  <si>
    <t>Sep</t>
  </si>
  <si>
    <t>Ago</t>
  </si>
  <si>
    <t>Jul</t>
  </si>
  <si>
    <t>Jun</t>
  </si>
  <si>
    <t>May</t>
  </si>
  <si>
    <t>Abr</t>
  </si>
  <si>
    <t>Mar</t>
  </si>
  <si>
    <t>Feb</t>
  </si>
  <si>
    <t>Revista Indec Informa/código CPC</t>
  </si>
  <si>
    <t>Descripción de la apertura ICC</t>
  </si>
  <si>
    <r>
      <t>INDEC INFORMA 
Cuadro ó código CPC (</t>
    </r>
    <r>
      <rPr>
        <vertAlign val="superscript"/>
        <sz val="8"/>
        <rFont val="Arial"/>
        <family val="2"/>
      </rPr>
      <t>1</t>
    </r>
    <r>
      <rPr>
        <sz val="8"/>
        <rFont val="Arial"/>
        <family val="2"/>
      </rPr>
      <t>)</t>
    </r>
  </si>
  <si>
    <t>Insumos</t>
  </si>
  <si>
    <t>Decreto 1295/2002 Artículo 15 - inciso</t>
  </si>
  <si>
    <t>Importante: para facilitar su utilización en la redeterminación de precios de contratos de obra pública se presenta el Índice con período de referencia Octubre 2015=100</t>
  </si>
  <si>
    <t>Información estadística para la redeterminación de precios de contratos de obra pública</t>
  </si>
  <si>
    <t>Índices de los componentes incluidos en el Decreto 1295/2002. Octubre-Diciembre 2015 y años 2016-2017</t>
  </si>
  <si>
    <t>ÍNDICE DEL COSTO DE LA CONSTRUCCIÓN EN EL GRAN BUENOS AIRES (ICC), base 1993=100</t>
  </si>
  <si>
    <t>e</t>
  </si>
  <si>
    <t>RC 4</t>
  </si>
  <si>
    <t>Mdeo</t>
  </si>
  <si>
    <t>Materiales</t>
  </si>
  <si>
    <t>ITEMS POR CERTIFICACION MENSUAL</t>
  </si>
  <si>
    <t>ITEMS ORDEN DE COMPRA ABIERTA</t>
  </si>
  <si>
    <t>Primer Año</t>
  </si>
  <si>
    <t>Segundo Año</t>
  </si>
  <si>
    <t>Resumen Contrato</t>
  </si>
  <si>
    <t>Resumen Contrato segundo Año</t>
  </si>
  <si>
    <t>Valor de actualización inter anual del Indec (Decreto 1295/2002 Artículo 15)</t>
  </si>
  <si>
    <t>Coeficiente evolución (2016 - 2017)</t>
  </si>
  <si>
    <t>Coeficiente evolución (2017 - 2018)</t>
  </si>
  <si>
    <t>Evolución de índice de Mano de Obra (Tabla 1.4)</t>
  </si>
  <si>
    <t>Promedio de evolución de Índices de Materiales y Equipos (Tablas 1,5 a 1,9)</t>
  </si>
  <si>
    <t>Como segunda medida se estudio el crecimiento y disminución de los recursos humanos, materiales directos e indirectos, manteniendo el componente de Mark Up, de la empresa con los mismos valores, además se aplica a los trabajos que involucra material y mano de obra, un 50% de valor a mano de obra y un 50% a material.</t>
  </si>
  <si>
    <t>Software gestión mantenimiento CAFM</t>
  </si>
  <si>
    <t>Interruptor NSX 160 con modulo Vigi y protección electrónica Micrologig 5.2E</t>
  </si>
  <si>
    <t>Interruptor NSX 250 con modulo Vigi y protección electrónica Micrologig 5.2E</t>
  </si>
  <si>
    <t>Interruptor NSX 630 con modulo Vigi y protección electrónica Micrologig 5.2E</t>
  </si>
  <si>
    <t>Ánodo de sacrificio Termo Tanque</t>
  </si>
  <si>
    <t>Kit reparación Evaporadora Mitsubishi - 210-150</t>
  </si>
  <si>
    <t>Kit reparación Condensadora Mitsubishi - 210-150</t>
  </si>
  <si>
    <t>BMS Server automación SXW AUTOMATION SERVER - P</t>
  </si>
  <si>
    <t>Fuente alimentación audible/visual. 6 Amperes de corriente continua. Alimentación 220 Vac.  FCPS-2456E</t>
  </si>
  <si>
    <t>Detector Inalámbrico</t>
  </si>
  <si>
    <t>DDRC1220FR-GL-V2 - Philips Controlador 12x20A replay</t>
  </si>
  <si>
    <t>Adicional de activo fijo a incorporar al contrato de mantenimiento integral</t>
  </si>
  <si>
    <t>Traslado de puesto de trabajo (mobiliario)</t>
  </si>
  <si>
    <t>Traslado de puesto de trabajo (Instalación eléctrica)</t>
  </si>
  <si>
    <t>Tareas sobre demanda – Mano de Obra Especializada para tareas de limpieza en oficinas nuevas, a requerirse ampliación de servicio.</t>
  </si>
  <si>
    <t>Tareas sobre demanda – Mano de Obra Especializada para tareas de mantenimiento en oficinas nuevas, a requerirse ampliación de servicio.</t>
  </si>
  <si>
    <t>Tareas de mantenimiento preventivo y correctivo sobre equipo adicional de termo mecánicos, limpieza de filtros de aire.</t>
  </si>
  <si>
    <t>Tareas de mantenimiento preventivo y correctivo sobre equipo adicional termo mecánicos, cambio de correa de ventilador.</t>
  </si>
  <si>
    <t>Suministro instalación y puesta en marcha, totalmente probado y funcionando de, Bomba de Grupo Hydro MPC-E 2 CRIE 5-4</t>
  </si>
  <si>
    <t>Suministro instalación y puesta en marcha, totalmente probado y funcionando de, Bomba de Grupo Hydro MPC-E 3 CRIE 15-2</t>
  </si>
  <si>
    <t>Suministro instalación y puesta en marcha, totalmente probado y funcionando de, Bombas de grupo AP 50B . 50 . 11 3. V</t>
  </si>
  <si>
    <t>Suministro instalación y puesta en marcha, totalmente probado y funcionando de, Boca de iluminaciòn, compuesta por Caja octogonal, Cañerías 3/4", Cableado de 3x1,5mm2 LS0H. Parte proporcional de adecuación de Tablero seccional, protección diferencial y termomagnética.</t>
  </si>
  <si>
    <t>Suministro instalación y puesta en marcha, totalmente probado y funcionando de, Boca de tomacorriente, compuesta por Caja 10x5cm, Cañerías 3/4", Cableado de 3x2,5mm2 LS0H, bastidor toma doble 2x16 A. Parte proporcional de adecuación de Tablero seccional, protección diferencial y termomagnética.</t>
  </si>
  <si>
    <t>Suministro instalación y puesta en marcha, totalmente probado y funcionando de, Puesto de trabajo doble circuito, compuesta por Cajas 10x5cm, Cañerías 3/4", Cableado de 3x2,5mm2 LS0H, bastidor toma doble 2x16 A. Parte proporcional de adecuación de Tablero seccional, protección diferencial y termomagnética.</t>
  </si>
  <si>
    <t>Suministro instalación y puesta en marcha, totalmente probado y funcionando de, Unidad Evaporadora Según Lista de Activos, compuesta por UE, cañería de refrigerante aislada, cableado de Fuerza Motriz 3x2,5mm2 LS0H parte proporcional de adecuación de Tablero seccional, protección diferencial y termomagnética, conexión a comando de sistema de Unidad condensadora existente.</t>
  </si>
  <si>
    <t>OBRA:</t>
  </si>
  <si>
    <t>Plan Integral de Mantenimiento Edilicio, de Equipamiento e Instalaciones Estación Retiro</t>
  </si>
  <si>
    <t>Suministro de materiales y  mano de obra para la realizacion de mantenimiento de INDICADOR LUMINOSO DE SALIDA DE EMERGENCIA.</t>
  </si>
  <si>
    <t>Suministro de materiales y  mano de obra para la realizacion de mantenimiento de Artefacto LED 30 x 30 s/pliegos</t>
  </si>
  <si>
    <t>Suministro de materiales y  mano de obra para la realizacion de mantenimiento de Artefacto LED 30 x 30 s/pliegos. Con Equipo de Iluminción de Emergencia</t>
  </si>
  <si>
    <t>Suministro de materiales y  mano de obra para la realizacion de mantenimiento de Artefacto LED 60 x 60 s/pliegos</t>
  </si>
  <si>
    <t>Suministro de materiales y  mano de obra para la realizacion de mantenimiento de Artefacto LED 60 x 60 s/pliegos. Con Equipo de Iluminción de Emergencia</t>
  </si>
  <si>
    <t>Suministro de materiales y  mano de obra para la realizacion de mantenimiento de Tableros Seccional</t>
  </si>
  <si>
    <t>Suministro de materiales y  mano de obra para la realizacion de mantenimiento de Parlante Audio 0,5-2W</t>
  </si>
  <si>
    <t>Suministro de materiales y  mano de obra para la realizacion de mantenimiento de Rociador Mont. K5,6 68°C</t>
  </si>
  <si>
    <t>Suministro de materiales y  mano de obra para la realizacion de mantenimiento de Rociador Pend. K5,6 68°C</t>
  </si>
  <si>
    <t>Suministro de materiales y  mano de obra para la realizacion de mantenimiento de ROCIADOR SIDEWALL K 5.6 68°C</t>
  </si>
  <si>
    <t>Suministro de materiales y  mano de obra para la realizacion de mantenimiento de Detector Foto Ambiente/Cielorraso</t>
  </si>
  <si>
    <t>Suministro de materiales y  mano de obra para la realizacion de mantenimiento de Evaporadora Bajo Silueta</t>
  </si>
  <si>
    <t>Suministro de materiales y  mano de obra para la realizacion de mantenimiento de Evaporadora Tipo Cassette</t>
  </si>
  <si>
    <t>Suministro de materiales y  mano de obra para la realizacion de mantenimiento de Evaporadora de Pared (Split)</t>
  </si>
  <si>
    <t>Suministro de materiales y  mano de obra para la realizacion de mantenimiento de ARTEFACTOS DE ILUMINACIÓN DE EMPOTRAR, MODELO TURN ROUND REDONDO, DIAMETRO 85 MM, DE MARCA PHILIPS O CALIDAD SUPERIOR.</t>
  </si>
  <si>
    <t xml:space="preserve">Suministro de materiales y  mano de obra para la realizacion de mantenimiento de ARTEFACTOS DE ILUMINACIÓN DE EMBUTIR, MODELO SAVIO, 620X620 MM, DE MARCA PHILIPS O CALIDAD SUPERIOR.
</t>
  </si>
  <si>
    <t xml:space="preserve">Suministro de materiales y  mano de obra para la realizacion de mantenimiento de ARTEFACTOS DE ILUMINACIÓN DE EMBUTIR, MODELO SAVIO, 620X620 MM, DE MARCA PHILIPS O CALIDAD SUPERIOR. CON EQUIPO DE EMERGENCIA.
</t>
  </si>
  <si>
    <t xml:space="preserve">Suministro de materiales y  mano de obra para la realizacion de mantenimiento de ARTEFACTOS DE ILUMINACIÓN DE APLICAR, MODELO SAVIO, 620X620 MM, DE MARCA PHILIPS O CALIDAD SUPERIOR.
</t>
  </si>
  <si>
    <t>Suministro de materiales y  mano de obra para la realizacion de mantenimiento de ARTEFACTOS DE ILUMINACIÓN DE APLICAR, MODELO SAVIO, 620X620 MM, DE MARCA PHILIPS O CALIDAD SUPERIOR. CON EQUIPO DE EMERGENCIA.</t>
  </si>
  <si>
    <t xml:space="preserve">Suministro de materiales y  mano de obra para la realizacion de mantenimiento de ARTEFACTOS DE ILUMINACIÓN DE EMBUTIR, MODELO GREEN SPACE GEN 3, DIAMETRO:203 MM, DE MARCA PHILIPS O CALIDAD SUPERIOR.
</t>
  </si>
  <si>
    <t>Suministro de materiales y  mano de obra para la realizacion de mantenimiento de ARTEFACTOS DE ILUMINACIÓN DE EMBUTIR, MODELO GREEN SPACE GEN 3, DIAMETRO:203 MM, DE MARCA PHILIPS O CALIDAD SUPERIOR. CON EQUIPO DE EMERGENCIA</t>
  </si>
  <si>
    <t xml:space="preserve">Suministro de materiales y  mano de obra para la realizacion de mantenimiento de ARTEFACTOS DE ILUMINACIÓN DE APLICAR, MODELO DOBLO BIDIRECCIONAL LED, MARCA LUCCIOLA O CALIDAD SUPERIOR.
</t>
  </si>
  <si>
    <t xml:space="preserve">Suministro de materiales y  mano de obra para la realizacion de mantenimiento de ARTEFACTOS DE ILUMINACIÓN DE APLICAR EXTERIOR, MODELO GYM 2080. MARCA LUCCIOLA O CALIDAD SUPERIOR. </t>
  </si>
  <si>
    <t>Suministro de materiales y  mano de obra para la realizacion de mantenimiento de ARTEFACTOS DE ILUMINACIÓN DE APLICAR EXTERIOR, MODELO GYM 2080. MARCA LUCCIOLA O CALIDAD SUPERIOR. CON EQUIPO DE EMERGENCIA</t>
  </si>
  <si>
    <t xml:space="preserve">Suministro de materiales y  mano de obra para la realizacion de mantenimiento de ARTEFACTOS DE ILUMINACIÓN DE APLICAR, MODELO TMS-P SLIM/LED TUBE, LONGITUD: 1200MM, DE MARCA PHILIPS O CALIDAD SUPERIOR.
</t>
  </si>
  <si>
    <t xml:space="preserve">Suministro de materiales y  mano de obra para la realizacion de mantenimiento de ARTEFACTOS DE ILUMINACIÓN DE APLICAR, MODELO eW CORE MX Powercore, MEDIDAS: 1200x40mm. MARCA PHILIPS O CALIDAD SUPERIOR.
</t>
  </si>
  <si>
    <t>Suministro de materiales y  mano de obra para la realizacion de mantenimiento de ARTEFACTOS DE ILUMINACIÓN DE APLICAR, MODELO eW CORE MX Powercore, MEDIDAS: 1200x40mm. MARCA PHILIPS O CALIDAD SUPERIOR. CON EQUIPO DE EMERGENCIA</t>
  </si>
  <si>
    <t>Suministro de materiales y  mano de obra para la realizacion de mantenimiento de ARTEFACTO DE ILUMINACION DE APLICAR, MODELO SAVIO, 1259X266 MM, MARCA PHILIPS O CALIDAD SUPERIOR</t>
  </si>
  <si>
    <t>Suministro de materiales y  mano de obra para la realizacion de mantenimiento de ARTEFACTO DE ILUMINACION DE APLICAR, MODELO SAVIO, 1259X266 MM, MARCA PHILIPS O CALIDAD SUPERIOR. CON EQUIPO DE EMERGENCIA</t>
  </si>
  <si>
    <t>Suministro de materiales y  mano de obra para la realizacion de mantenimiento de ARTEFACTO DE ILUMINACION DE EMBUTIR, MODELO SMARTFORM, línea de luz, TBS417. MARCA PHILIPS O CALIDAD SUPERIOR</t>
  </si>
  <si>
    <t>Suministro de materiales y  mano de obra para la realizacion de mantenimiento de ARTEFACTO DE ILUMINACION DE EMBUTIR, MODELO SMARTFORM, línea de luz, TBS417. MARCA PHILIPS O CALIDAD SUPERIOR. CON EQUIPO DE EMERGENCIA</t>
  </si>
  <si>
    <t>Suministro de materiales y  mano de obra para la realizacion de mantenimiento de ARTEFACTO DE ILUMINACIÓN DE COLGAR, MODELO SKIVE, MARCA PHILIPS O CALIDAD SUPERIOR. DIAMETRO:700MM</t>
  </si>
  <si>
    <t>Suministro de materiales y  mano de obra para la realizacion de mantenimiento de ARTEFACTO DE ILUMINACIÓN DE COLGAR, MODELO SKIVE, MARCA PHILIPS O CALIDAD SUPERIOR. DIAMETRO:700MM. CON EQUIPO DE EMERGENCIA</t>
  </si>
  <si>
    <t>Suministro de materiales y  mano de obra para la realizacion de mantenimiento de ARTEFACTOS DE ILUMINACIÓN DE APLICAR, MODELO PLAFÓN 31802 LED,  MARCA PHILIPS O CALIDAD SUPERIOR</t>
  </si>
  <si>
    <t>Suministro de materiales y  mano de obra para la realizacion de mantenimiento de ARTEFACTOS DE ILUMINACIÓN DE APLICAR, MODELO PLAFÓN 31802 LED,  MARCA PHILIPS O CALIDAD SUPERIOR. CON EQUIPO DE EMERGENCIA.</t>
  </si>
  <si>
    <t>ANEXO 01: Planilla de Cotización</t>
  </si>
  <si>
    <t>1.03.01</t>
  </si>
  <si>
    <t>1.03</t>
  </si>
  <si>
    <t>1.03.02</t>
  </si>
  <si>
    <t>1.03.03</t>
  </si>
  <si>
    <t>1.03.04</t>
  </si>
  <si>
    <t>1.03.05</t>
  </si>
  <si>
    <t>1.03.06</t>
  </si>
  <si>
    <t>1.03.07</t>
  </si>
  <si>
    <t>1.03.08</t>
  </si>
  <si>
    <t>1.03.09</t>
  </si>
  <si>
    <t>1.03.10</t>
  </si>
  <si>
    <t>1.03.11</t>
  </si>
  <si>
    <t>1.03.12</t>
  </si>
  <si>
    <t>1.03.13</t>
  </si>
  <si>
    <t>1.03.14</t>
  </si>
  <si>
    <t>1.03.15</t>
  </si>
  <si>
    <t>1.03.16</t>
  </si>
  <si>
    <t>1.03.17</t>
  </si>
  <si>
    <t>1.03.18</t>
  </si>
  <si>
    <t>1.03.19</t>
  </si>
  <si>
    <t>1.03.20</t>
  </si>
  <si>
    <t>1.03.21</t>
  </si>
  <si>
    <t>1.03.22</t>
  </si>
  <si>
    <t>1.03.23</t>
  </si>
  <si>
    <t>1.03.24</t>
  </si>
  <si>
    <t>1.03.25</t>
  </si>
  <si>
    <t>1.03.26</t>
  </si>
  <si>
    <t>1.03.27</t>
  </si>
  <si>
    <t>1.03.28</t>
  </si>
  <si>
    <t>1.03.29</t>
  </si>
  <si>
    <t>1.03.30</t>
  </si>
  <si>
    <t>1.03.31</t>
  </si>
  <si>
    <t>1.03.32</t>
  </si>
  <si>
    <t>1.03.33</t>
  </si>
  <si>
    <t>1.03.34</t>
  </si>
  <si>
    <t>Oferta por servicio de reposicion inmediata.</t>
  </si>
  <si>
    <t>Tarea sobre demanda de Suministro de material y/o Mano de Obra, de trabajos relacionados con el plan de mantenimiento y limpieza tecnica Integral</t>
  </si>
  <si>
    <t>Mano de obra para elementos de reposicion inmediata</t>
  </si>
  <si>
    <t>UN</t>
  </si>
  <si>
    <t>2.01.01</t>
  </si>
  <si>
    <t>2.01.02</t>
  </si>
  <si>
    <t>2.01.03</t>
  </si>
  <si>
    <t>2.01.04</t>
  </si>
  <si>
    <t>2.01.05</t>
  </si>
  <si>
    <t>2.01.06</t>
  </si>
  <si>
    <t>2.01.07</t>
  </si>
  <si>
    <t>2.01.08</t>
  </si>
  <si>
    <t>2.01.09</t>
  </si>
  <si>
    <t>2.01.10</t>
  </si>
  <si>
    <t>2.01.11</t>
  </si>
  <si>
    <t>2.01.12</t>
  </si>
  <si>
    <t>2.01.13</t>
  </si>
  <si>
    <t>2.01.14</t>
  </si>
  <si>
    <t>2.01.15</t>
  </si>
  <si>
    <t>2.01.16</t>
  </si>
  <si>
    <t>2.01.17</t>
  </si>
  <si>
    <t>2.01.18</t>
  </si>
  <si>
    <t>2.01.19</t>
  </si>
  <si>
    <t>2.01.20</t>
  </si>
  <si>
    <t>2.01.21</t>
  </si>
  <si>
    <t>2.01.22</t>
  </si>
  <si>
    <t>2.01.23</t>
  </si>
  <si>
    <t>2.01.24</t>
  </si>
  <si>
    <t>2.01.25</t>
  </si>
  <si>
    <t>2.01.26</t>
  </si>
  <si>
    <t>2.01.27</t>
  </si>
  <si>
    <t>2.01.28</t>
  </si>
  <si>
    <t>2.01.29</t>
  </si>
  <si>
    <t>2.01.30</t>
  </si>
  <si>
    <t>2.01.31</t>
  </si>
  <si>
    <t>2.01.32</t>
  </si>
  <si>
    <t>2.01.33</t>
  </si>
  <si>
    <t>2.01.34</t>
  </si>
  <si>
    <t>2.02.01</t>
  </si>
  <si>
    <t>2.02.02</t>
  </si>
  <si>
    <t>2.02.03</t>
  </si>
  <si>
    <t>2.02.04</t>
  </si>
  <si>
    <t>2.02.05</t>
  </si>
  <si>
    <t>2.02.06</t>
  </si>
  <si>
    <t>2.02.07</t>
  </si>
  <si>
    <t>2.02.08</t>
  </si>
  <si>
    <t>2.02.09</t>
  </si>
  <si>
    <t>2.02.10</t>
  </si>
  <si>
    <t>2.02.11</t>
  </si>
  <si>
    <t>2.02.12</t>
  </si>
  <si>
    <t>2.02.13</t>
  </si>
  <si>
    <t>2.02.14</t>
  </si>
  <si>
    <t>2.02.15</t>
  </si>
  <si>
    <t>2.02.16</t>
  </si>
  <si>
    <t>2.02.17</t>
  </si>
  <si>
    <t>2.02.18</t>
  </si>
  <si>
    <t>2.02.19</t>
  </si>
  <si>
    <t>2.02.20</t>
  </si>
  <si>
    <t>2.02.21</t>
  </si>
  <si>
    <t>2.02.22</t>
  </si>
  <si>
    <t>2.02.23</t>
  </si>
  <si>
    <t>2.02.24</t>
  </si>
  <si>
    <t>2.02.25</t>
  </si>
  <si>
    <t>2.02.26</t>
  </si>
  <si>
    <t>2.02.27</t>
  </si>
  <si>
    <t>2.02.28</t>
  </si>
  <si>
    <t>2.02.29</t>
  </si>
  <si>
    <t>2.02.30</t>
  </si>
  <si>
    <t>2.02.31</t>
  </si>
  <si>
    <t>2.02.32</t>
  </si>
  <si>
    <t>2.02.33</t>
  </si>
  <si>
    <t>2.02.34</t>
  </si>
  <si>
    <t>2.02.35</t>
  </si>
  <si>
    <t>2.02.36</t>
  </si>
  <si>
    <t>2.02.37</t>
  </si>
  <si>
    <t>2.02.38</t>
  </si>
  <si>
    <t>2.03.01</t>
  </si>
  <si>
    <t>2.03.02</t>
  </si>
  <si>
    <t>2.03.03</t>
  </si>
  <si>
    <t>2.03.04</t>
  </si>
  <si>
    <t>2.03.05</t>
  </si>
  <si>
    <t>2.03.06</t>
  </si>
  <si>
    <t>2.03.07</t>
  </si>
  <si>
    <t>2.03.08</t>
  </si>
  <si>
    <t>2.03.09</t>
  </si>
  <si>
    <t>2.03.10</t>
  </si>
  <si>
    <t>2.03.11</t>
  </si>
  <si>
    <t>2.03.12</t>
  </si>
  <si>
    <t>2.03.13</t>
  </si>
  <si>
    <t>2.03.14</t>
  </si>
  <si>
    <t>2.03.15</t>
  </si>
  <si>
    <t>2.03.16</t>
  </si>
  <si>
    <t>2.03.17</t>
  </si>
  <si>
    <t>2.03.18</t>
  </si>
  <si>
    <t>2.03.19</t>
  </si>
  <si>
    <t>2.03.20</t>
  </si>
  <si>
    <t>2.03.21</t>
  </si>
  <si>
    <t>2.03.22</t>
  </si>
  <si>
    <t>2.03.23</t>
  </si>
  <si>
    <t>2.03.24</t>
  </si>
  <si>
    <t>2.03.25</t>
  </si>
  <si>
    <t>2.03.26</t>
  </si>
  <si>
    <t>2.03.27</t>
  </si>
  <si>
    <t>2.03.28</t>
  </si>
  <si>
    <t>2.03.29</t>
  </si>
  <si>
    <t>2.03.30</t>
  </si>
  <si>
    <t>2.03.31</t>
  </si>
  <si>
    <t>Servicio de implementacion de elementos de reposicion inmediata (según listado desglozado del item1.03)</t>
  </si>
  <si>
    <t>El valor indicado en el ítem 2.02, corresponde a la mano de Obra y materiales menores que corresponden al servicio de mantenimiento, para áreas, equipos, e instalaciones que se incorporen durante el contrato, esto aplica a medida que se vayan finalizando las obras dentro del área de incidencia de la prestación del servicio, para este punto aplicaran en su totalidad las mismas clausulas del pliego, este ítem 3.2, podrá ser certificado en su totalidad o no, dependiendo de la finalización de las obras y pase a patrimonio de las mismas.</t>
  </si>
  <si>
    <t>SER45000005N</t>
  </si>
  <si>
    <t>SERVICIO DE LIMPIEZA</t>
  </si>
  <si>
    <t>MES</t>
  </si>
  <si>
    <t>SER30000001N</t>
  </si>
  <si>
    <t>MANTENIMIENTO DE EDIFICIO E INSTALACIONES (PREVENTIVO)</t>
  </si>
  <si>
    <t>SER17000174-N</t>
  </si>
  <si>
    <t>INSTALACION DE EQUIPOS PARA COMUNICACIONES / SISTEMAS</t>
  </si>
  <si>
    <t>UNID</t>
  </si>
  <si>
    <t>SER30200009-N</t>
  </si>
  <si>
    <t>REPARACION DE INSTALACIONES ELECTRICAS</t>
  </si>
  <si>
    <t>C/U</t>
  </si>
  <si>
    <t>SER16000357-N</t>
  </si>
  <si>
    <t>REPARACION DE EQUIPOS DE IZAJE</t>
  </si>
  <si>
    <t>SER18000010-N</t>
  </si>
  <si>
    <t>SERVICIOS PROFESIONALES (C/U)</t>
  </si>
  <si>
    <t>SER16000200-N</t>
  </si>
  <si>
    <t>REPARACION DE AIRE ACONDICIONADO</t>
  </si>
  <si>
    <t>Ánodo de sacrificio Termo Tanque de 300 lts</t>
  </si>
  <si>
    <t>Resistencia Termotanque 300 lts</t>
  </si>
  <si>
    <t>SER13500011-N</t>
  </si>
  <si>
    <t>PINTURA EDILICIA</t>
  </si>
  <si>
    <t>MT2</t>
  </si>
  <si>
    <t>SER60000022-N</t>
  </si>
  <si>
    <t>SERVICIO DE CERRAJERIA</t>
  </si>
  <si>
    <t>SER13500186-N</t>
  </si>
  <si>
    <t>SERVICIO DE REACONDICIONAMIENTO DE OBRA</t>
  </si>
  <si>
    <t>SER11500790-N</t>
  </si>
  <si>
    <t>MANTENIMIENTO DE MATAFUEGO O EXTINTOR (MES)</t>
  </si>
  <si>
    <t>SER11500870-N</t>
  </si>
  <si>
    <t>RECARGA DE MATAFUEGO O EXTINTOR DE PRODUCTOS HALOGENADOS HCFC</t>
  </si>
  <si>
    <t>SER45000005-N</t>
  </si>
  <si>
    <t>SER14500122-N</t>
  </si>
  <si>
    <t>ALQUILER DE CAMION CON CHOFER (C/U)</t>
  </si>
  <si>
    <t>SER90000040-N</t>
  </si>
  <si>
    <t>SERVICIO DE ASESORAMIENTO EXTERNO (HRS)</t>
  </si>
  <si>
    <t>HRS</t>
  </si>
  <si>
    <t>Pulsador Manual de aviso de incendio</t>
  </si>
  <si>
    <t>Sirena con Estrobo aviso de incendio</t>
  </si>
  <si>
    <t>DETECTOR TERMICO para central incendio</t>
  </si>
  <si>
    <t>Luego se procedió a la división de costos, entre contrato por certificación mensual y trabajos sobre demanda, teniendo en cuenta que para la primer parte, se descompone en 3 (tres) ítems principales, recursos humanos (costos directos e indirectos), materiales menores y sub contratos exigidos, que se incluirán en la Orden de compra por ajuste alzado, que corresponde a los puntos 1,01 y 1,02 de la planilla de cotización y el ítem 1.03, corresponde al servicio de reposición inmediata, para lo cual se procedió con la solicitud de apertura de precios para poder evaluar mas cuantitativamente las ofertas que recibiremos.</t>
  </si>
  <si>
    <t>En siguiente lugar se procedió a la evaluación de la segunda parte del contrato, que será por metodología de servicios a demanda, los mismos se dividieron, en 3 (tres) ítems, a saber:</t>
  </si>
  <si>
    <t>Ítem de planilla de cotización 2.01, se forma con las valoraciones de trabajos de servicio de mano de obra a demanda para hacer uso de las unidades correspondientes a los servicios de reposición inmediata en caso de ser necesaria su aplicación, este ítem, podrá ser certificado en su totalidad o no, dependiendo de la necesidad y funcionamiento de las instalaciones.</t>
  </si>
  <si>
    <t>Por ultimo, se analizo el valor indicado en el ítem 2.03, que corresponde a la mano de Obra y materiales que corresponden al alcance de fuera de contrato por ajuste alzado del servicio de mantenimiento, para infraestructura, equipos, e instalaciones que pudieran sufrir un daño, esto aplica solo en caso de que ocurra. aplicándose la misma modalidad contractual que los dos ítems anteriores.</t>
  </si>
  <si>
    <t>Como primera medida para el estudio de la proyección de incrementos económicos para el segundo año,  se estudiaron los índices inter anuales del Indec para los rubros que aplican en este contrato y se estimo una proyección de inflación menor según, las previsiones adoptadas por el Poder Ejecutivo adoptando un 12% de decrecimiento de las variables inter anuales</t>
  </si>
  <si>
    <t>Análogamente se genera una indexación aplicados los coeficientes de actualización, siendo estos variables estimadas como se realizo, para los ítems anteriores.</t>
  </si>
  <si>
    <t>SER13500186N</t>
  </si>
  <si>
    <t>Mantenimiento Predictivo, Preventivo, correctivo y limpieza Tecnica</t>
  </si>
  <si>
    <t>ITEMS ORDEN DE COMPRA ABIERTA   -   Tarea sobre demanda de Suministro de material y/o Mano de Obra, de trabajos relacionados con el plan de mantenimiento y limpieza tecnica Integral</t>
  </si>
  <si>
    <t>ITEMS POR CERTIFICACION MENSUAL   -   Mantenimiento Predictivo, Preventivo, correctivo y limpieza Tecnica Integral</t>
  </si>
  <si>
    <t>B</t>
  </si>
  <si>
    <t>A</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</si>
  <si>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</si>
  <si>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</si>
  <si>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</si>
  <si>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</si>
  <si>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</si>
  <si>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</si>
  <si>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</si>
  <si>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</si>
  <si>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</si>
  <si>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</si>
  <si>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</si>
  <si>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</si>
  <si>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</si>
  <si>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</si>
  <si>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</si>
  <si>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</si>
  <si>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</si>
  <si>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</si>
  <si>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</si>
  <si>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</si>
  <si>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</si>
  <si>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</si>
  <si>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</si>
  <si>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</si>
  <si>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</si>
  <si>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</si>
  <si>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</si>
  <si>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</si>
  <si>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</si>
  <si>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</si>
  <si>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</si>
  <si>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</si>
  <si>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</si>
  <si>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</si>
  <si>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</si>
  <si>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</si>
  <si>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</si>
  <si>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</si>
  <si>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</si>
  <si>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</si>
  <si>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</si>
  <si>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</si>
  <si>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</si>
  <si>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</si>
  <si>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</si>
  <si>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</si>
  <si>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</si>
  <si>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</si>
  <si>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</si>
  <si>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</si>
  <si>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</si>
  <si>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</si>
  <si>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</si>
  <si>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</si>
  <si>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</si>
  <si>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</si>
  <si>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</si>
  <si>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</si>
  <si>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</si>
  <si>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</si>
  <si>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</si>
  <si>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</si>
  <si>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</si>
  <si>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</si>
  <si>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</si>
  <si>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</si>
  <si>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</si>
  <si>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</si>
  <si>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</si>
  <si>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4.01</t>
  </si>
  <si>
    <t>4.02</t>
  </si>
  <si>
    <t>4.03</t>
  </si>
  <si>
    <t>4.04</t>
  </si>
  <si>
    <t>4.05</t>
  </si>
  <si>
    <t>4.06</t>
  </si>
  <si>
    <t>4.07</t>
  </si>
  <si>
    <t>4.08</t>
  </si>
  <si>
    <t>4.09</t>
  </si>
  <si>
    <t>4.10</t>
  </si>
  <si>
    <t>4.11</t>
  </si>
  <si>
    <t>4.12</t>
  </si>
  <si>
    <t>4.13</t>
  </si>
  <si>
    <t>4.14</t>
  </si>
  <si>
    <t>4.15</t>
  </si>
  <si>
    <t>4.16</t>
  </si>
  <si>
    <t>4.17</t>
  </si>
  <si>
    <t>4.18</t>
  </si>
  <si>
    <t>4.19</t>
  </si>
  <si>
    <t>4.20</t>
  </si>
  <si>
    <t>4.21</t>
  </si>
  <si>
    <t>4.22</t>
  </si>
  <si>
    <t>4.23</t>
  </si>
  <si>
    <t>4.24</t>
  </si>
  <si>
    <t>4.25</t>
  </si>
  <si>
    <t>4.26</t>
  </si>
  <si>
    <t>4.27</t>
  </si>
  <si>
    <t>4.28</t>
  </si>
  <si>
    <t>4.29</t>
  </si>
  <si>
    <t>4.30</t>
  </si>
  <si>
    <t>4.31</t>
  </si>
  <si>
    <t>Suministro de materiales y  mano de obra para la realizacion de mantenimiento de DETECTOR TERMICO para central incendio</t>
  </si>
  <si>
    <t>Suministro de materiales y  mano de obra para la realizacion de mantenimiento de Pulsador Manual de aviso de incendio</t>
  </si>
  <si>
    <t>Suministro de materiales y  mano de obra para la realizacion de mantenimiento de Sirena con Estrobo aviso de incendio</t>
  </si>
  <si>
    <t>}</t>
  </si>
  <si>
    <t>ANALIS 2do AÑO</t>
  </si>
  <si>
    <t>Servicio de implementación de elementos de reposición inmediata (según listado desglosado del item1.03)</t>
  </si>
  <si>
    <t xml:space="preserve"> Mantenimiento Predictivo, Preventivo, correctivo y limpieza Tecnica Integral</t>
  </si>
  <si>
    <t>Suministro de materiales y mano de obra para ejecucion de mantenimiento integral de equipo AA tipo Split de hasta 3000 fr.</t>
  </si>
  <si>
    <t>Suministro de materiales y mano de obra para ejecucion de mantenimiento integral de equipo AA tipo Split de hasta 6000 fr.</t>
  </si>
  <si>
    <t>Suministro de materiales y mano de obra para ejecucion de mantenimiento integral de equipo AA tipo Split de hasta 12000 fr.</t>
  </si>
  <si>
    <t>ITEMS POR CERTIFICACION MENSUAL   -   Mantenimiento Predictivo, Preventivo, correctivo y limpieza Técnica Integral</t>
  </si>
  <si>
    <t xml:space="preserve"> Mantenimiento Predictivo, Preventivo, correctivo y limpieza Técnica Integral</t>
  </si>
  <si>
    <t>ITEMS ORDEN DE COMPRA ABIERTA   -   Tarea sobre demanda de Suministro de material y/o Mano de Obra, de trabajos relacionados con el plan de mantenimiento y limpieza técnica Integral</t>
  </si>
  <si>
    <t>ITEM</t>
  </si>
  <si>
    <t>Precio</t>
  </si>
  <si>
    <t>LINEA ROCA</t>
  </si>
  <si>
    <t>lt</t>
  </si>
  <si>
    <t>Suministro de Gas Oil.</t>
  </si>
  <si>
    <t>Embanderado de Fachada</t>
  </si>
  <si>
    <t xml:space="preserve"> Montaje, Puesta a Punto y Prueba de Interruptor seccionador hasta 160A</t>
  </si>
  <si>
    <t xml:space="preserve"> Montaje, Puesta a Punto y Prueba de Interruptor seccionador hasta 250A</t>
  </si>
  <si>
    <t xml:space="preserve"> Montaje, Puesta a Punto y Prueba de Interruptor seccionador hasta 630A</t>
  </si>
  <si>
    <t xml:space="preserve"> Montaje, Puesta a Punto y Prueba de Contactor para arranque directo o con inversión de marcha hasta 7,5 kW 380/415 V</t>
  </si>
  <si>
    <t xml:space="preserve"> Montaje, Puesta a Punto y Prueba de Contactor para arranque directo o con inversión de marcha hasta 450 kW 380/400 V AC3 y 1600 A AC1</t>
  </si>
  <si>
    <t xml:space="preserve"> Montaje, Puesta a Punto y Prueba de Switch de 24 bocas full POE</t>
  </si>
  <si>
    <t xml:space="preserve"> Montaje, Puesta a Punto y Prueba de Resistencia Termotanque 500 lt</t>
  </si>
  <si>
    <t xml:space="preserve"> Montaje, Puesta a Punto y Prueba de Anodo de sacrificio Tanque 500 lt</t>
  </si>
  <si>
    <t xml:space="preserve"> Montaje, Puesta a Punto y Prueba de BMS Server </t>
  </si>
  <si>
    <t xml:space="preserve"> Montaje, Puesta a Punto y Prueba de Base para BMS Server </t>
  </si>
  <si>
    <t xml:space="preserve"> Montaje, Puesta a Punto y Prueba de BMS Modulo FUENTE </t>
  </si>
  <si>
    <t xml:space="preserve"> Montaje, Puesta a Punto y Prueba de BMS BASE PARA FUENTE </t>
  </si>
  <si>
    <t xml:space="preserve"> Montaje, Puesta a Punto y Prueba de BMS - CONTROLADOR BACNET </t>
  </si>
  <si>
    <t xml:space="preserve"> Montaje, Puesta a Punto y Prueba de Detector térmico direccionable y analógico</t>
  </si>
  <si>
    <t xml:space="preserve"> Montaje, Puesta a Punto y Prueba de Detector algorítmico de doble tecnología bajo perfil </t>
  </si>
  <si>
    <t xml:space="preserve"> Montaje, Puesta a Punto y Prueba de Base universal p/detectores direccionables y analógicos de bajo perfil. </t>
  </si>
  <si>
    <t xml:space="preserve"> Montaje, Puesta a Punto y Prueba de Avisador manual de doble acción c/registro de operación.</t>
  </si>
  <si>
    <t xml:space="preserve"> Montaje, Puesta a Punto y Prueba de Mini módulo direccionable para monitoreo de avisador manual.</t>
  </si>
  <si>
    <t xml:space="preserve"> Montaje, Puesta a Punto y Prueba de Sirena con luz estroboscópica, 12/24 volts, 2 Hilos, roja, montaje de pared. </t>
  </si>
  <si>
    <t xml:space="preserve"> Montaje, Puesta a Punto y Prueba de Fuente alimentación audible/visual. 6 Amperes de corriente continua. Alimentación 220 Vac.</t>
  </si>
  <si>
    <t xml:space="preserve"> Montaje, Puesta a Punto y Prueba de Módulo direccionable para comando mediante contacto seco.</t>
  </si>
  <si>
    <t xml:space="preserve"> Montaje, Puesta a Punto y Prueba de Módulo de aislación.</t>
  </si>
  <si>
    <t xml:space="preserve"> Montaje, Puesta a Punto y Prueba de Detector inalambrico</t>
  </si>
  <si>
    <t xml:space="preserve"> Montaje, Puesta a Punto y Prueba de Fuente para sistema KNX</t>
  </si>
  <si>
    <t xml:space="preserve"> Montaje, Puesta a Punto y Prueba de Switch actuator KNX REG-K/8x230/16 w. </t>
  </si>
  <si>
    <t>Pintura</t>
  </si>
  <si>
    <t>Cielorrasos</t>
  </si>
  <si>
    <t>Operativo nocturnos de Limpieza en altura</t>
  </si>
  <si>
    <t>Jornada nocturna de apoyo a tareas en altura</t>
  </si>
  <si>
    <t>jorn</t>
  </si>
  <si>
    <t>Suministro instalación y puesta en marcha, totalmente probado y funcionando de, Wilo Modelo Helix VE3602 de 7,5 KW</t>
  </si>
  <si>
    <t>Suministro instalación y puesta en marcha, totalmente probado y funcionando de, Bomba Wilo BM40 11 KW</t>
  </si>
  <si>
    <t>Software Gestión  Mantenimiento CAFM mensual + licencia + startup</t>
  </si>
  <si>
    <t>Suministro instalación y puesta en marcha, totalmente probado y funcionando de, Cañerías 3/4", tipo Conduit en modulo de 10 mt liniales. Con Caja rectangular en terminacion.</t>
  </si>
  <si>
    <t>Plan Integral de Mantenimiento Edilicio, de Equipamiento e Instalaciones Estación Constitucion</t>
  </si>
  <si>
    <t>Servicio de implementacion de elementos de reposicion inmediata</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</si>
</sst>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4" formatCode="_-&quot;$&quot;\ * #,##0.00_-;\-&quot;$&quot;\ * #,##0.00_-;_-&quot;$&quot;\ * &quot;-&quot;??_-;_-@_-"/>
    <numFmt numFmtId="43" formatCode="_-* #,##0.00_-;\-* #,##0.00_-;_-* &quot;-&quot;??_-;_-@_-"/>
    <numFmt numFmtId="164" formatCode="_-&quot;$&quot;* #,##0.00_-;\-&quot;$&quot;* #,##0.00_-;_-&quot;$&quot;* &quot;-&quot;??_-;_-@_-"/>
    <numFmt numFmtId="165" formatCode="_-* #,##0_-;\-* #,##0_-;_-* &quot;-&quot;??_-;_-@_-"/>
    <numFmt numFmtId="166" formatCode="_ &quot;$&quot;\ * #,##0.00_ ;_ &quot;$&quot;\ * \-#,##0.00_ ;_ &quot;$&quot;\ * &quot;-&quot;??_ ;_ @_ "/>
    <numFmt numFmtId="167" formatCode="#,##0.0"/>
    <numFmt numFmtId="168" formatCode="_-&quot;$&quot;* #,##0_-;\-&quot;$&quot;* #,##0_-;_-&quot;$&quot;* &quot;-&quot;??_-;_-@_-"/>
    <numFmt numFmtId="169" formatCode="0.0000000%"/>
    <numFmt numFmtId="170" formatCode="_ * #,##0.0_ ;_ * \-#,##0.0_ ;_ * &quot;-&quot;??_ ;_ @_ "/>
    <numFmt numFmtId="171" formatCode="_ * #,##0.00_ ;_ * \-#,##0.00_ ;_ * &quot;-&quot;??_ ;_ @_ "/>
    <numFmt numFmtId="172" formatCode="_ * #,##0.0_ ;_ * \-#,##0.0_ ;_ * &quot;-&quot;?_ ;_ @_ "/>
    <numFmt numFmtId="173" formatCode="0.000"/>
    <numFmt numFmtId="174" formatCode="_-* #,##0.00\ &quot;€&quot;_-;\-* #,##0.00\ &quot;€&quot;_-;_-* &quot;-&quot;??\ &quot;€&quot;_-;_-@_-"/>
  </numFmts>
  <fonts count="39" x14ac:knownFonts="1">
    <font>
      <sz val="11"/>
      <color theme="1"/>
      <name val="Calibri"/>
      <family val="2"/>
      <scheme val="minor"/>
    </font>
    <font>
      <sz val="11"/>
      <color theme="1"/>
      <name val="Calibri"/>
      <family val="2"/>
      <scheme val="minor"/>
    </font>
    <font>
      <b/>
      <sz val="11"/>
      <color theme="1"/>
      <name val="Calibri"/>
      <family val="2"/>
      <scheme val="minor"/>
    </font>
    <font>
      <b/>
      <sz val="12"/>
      <color theme="1"/>
      <name val="Arial"/>
      <family val="2"/>
    </font>
    <font>
      <sz val="11"/>
      <color theme="1"/>
      <name val="Gill Sans MT"/>
      <family val="2"/>
    </font>
    <font>
      <b/>
      <sz val="14"/>
      <color theme="1"/>
      <name val="Arial"/>
      <family val="2"/>
    </font>
    <font>
      <sz val="11"/>
      <color theme="1"/>
      <name val="Arial"/>
      <family val="2"/>
    </font>
    <font>
      <b/>
      <u/>
      <sz val="11"/>
      <color theme="1"/>
      <name val="Calibri"/>
      <family val="2"/>
      <scheme val="minor"/>
    </font>
    <font>
      <b/>
      <sz val="12"/>
      <color theme="1"/>
      <name val="Calibri"/>
      <family val="2"/>
      <scheme val="minor"/>
    </font>
    <font>
      <b/>
      <i/>
      <sz val="12"/>
      <color theme="1"/>
      <name val="Calibri"/>
      <family val="2"/>
      <scheme val="minor"/>
    </font>
    <font>
      <b/>
      <sz val="11"/>
      <name val="Arial"/>
      <family val="2"/>
    </font>
    <font>
      <sz val="11"/>
      <name val="Arial"/>
      <family val="2"/>
    </font>
    <font>
      <b/>
      <sz val="11"/>
      <color theme="1"/>
      <name val="Arial"/>
      <family val="2"/>
    </font>
    <font>
      <sz val="14"/>
      <color theme="1"/>
      <name val="Calibri"/>
      <family val="2"/>
      <scheme val="minor"/>
    </font>
    <font>
      <sz val="11"/>
      <name val="Calibri"/>
      <family val="2"/>
      <scheme val="minor"/>
    </font>
    <font>
      <b/>
      <sz val="11"/>
      <name val="Calibri"/>
      <family val="2"/>
      <scheme val="minor"/>
    </font>
    <font>
      <b/>
      <sz val="14"/>
      <name val="Calibri"/>
      <family val="2"/>
      <scheme val="minor"/>
    </font>
    <font>
      <sz val="10"/>
      <color theme="1"/>
      <name val="Calibri"/>
      <family val="2"/>
      <scheme val="minor"/>
    </font>
    <font>
      <b/>
      <sz val="14"/>
      <color theme="1"/>
      <name val="Calibri"/>
      <family val="2"/>
      <scheme val="minor"/>
    </font>
    <font>
      <sz val="10"/>
      <name val="Arial"/>
      <family val="2"/>
    </font>
    <font>
      <sz val="8"/>
      <name val="Arial"/>
      <family val="2"/>
    </font>
    <font>
      <b/>
      <sz val="8"/>
      <name val="Arial"/>
      <family val="2"/>
    </font>
    <font>
      <sz val="11"/>
      <color theme="1"/>
      <name val="Calibri"/>
      <family val="2"/>
    </font>
    <font>
      <b/>
      <sz val="8"/>
      <color indexed="8"/>
      <name val="Arial"/>
      <family val="2"/>
    </font>
    <font>
      <sz val="8"/>
      <color indexed="8"/>
      <name val="Arial"/>
      <family val="2"/>
    </font>
    <font>
      <sz val="8"/>
      <color indexed="12"/>
      <name val="Arial"/>
      <family val="2"/>
    </font>
    <font>
      <vertAlign val="superscript"/>
      <sz val="8"/>
      <name val="Arial"/>
      <family val="2"/>
    </font>
    <font>
      <sz val="11"/>
      <color indexed="8"/>
      <name val="Calibri"/>
      <family val="2"/>
    </font>
    <font>
      <sz val="9"/>
      <name val="Arial"/>
      <family val="2"/>
    </font>
    <font>
      <b/>
      <sz val="9"/>
      <name val="Arial"/>
      <family val="2"/>
    </font>
    <font>
      <sz val="10"/>
      <color rgb="FFFF0000"/>
      <name val="Calibri"/>
      <family val="2"/>
      <scheme val="minor"/>
    </font>
    <font>
      <sz val="11"/>
      <color rgb="FFFF0000"/>
      <name val="Calibri"/>
      <family val="2"/>
      <scheme val="minor"/>
    </font>
    <font>
      <b/>
      <sz val="11"/>
      <color theme="0"/>
      <name val="Calibri"/>
      <family val="2"/>
      <scheme val="minor"/>
    </font>
    <font>
      <sz val="11"/>
      <color theme="0"/>
      <name val="Calibri"/>
      <family val="2"/>
      <scheme val="minor"/>
    </font>
    <font>
      <b/>
      <sz val="10"/>
      <color theme="1"/>
      <name val="Calibri"/>
      <family val="2"/>
      <scheme val="minor"/>
    </font>
    <font>
      <b/>
      <sz val="14"/>
      <color theme="0"/>
      <name val="Calibri"/>
      <family val="2"/>
      <scheme val="minor"/>
    </font>
    <font>
      <b/>
      <sz val="12"/>
      <color theme="0"/>
      <name val="Calibri"/>
      <family val="2"/>
      <scheme val="minor"/>
    </font>
    <font>
      <b/>
      <sz val="11"/>
      <color theme="0"/>
      <name val="Arial"/>
      <family val="2"/>
    </font>
    <font>
      <sz val="11"/>
      <color theme="0"/>
      <name val="Arial"/>
      <family val="2"/>
    </font>
  </fonts>
  <fills count="7">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indexed="9"/>
        <bgColor indexed="64"/>
      </patternFill>
    </fill>
    <fill>
      <patternFill patternType="solid">
        <fgColor rgb="FF92D050"/>
        <bgColor indexed="64"/>
      </patternFill>
    </fill>
    <fill>
      <patternFill patternType="solid">
        <fgColor theme="0"/>
        <bgColor indexed="64"/>
      </patternFill>
    </fill>
  </fills>
  <borders count="30">
    <border>
      <left/>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auto="1"/>
      </left>
      <right/>
      <top/>
      <bottom/>
      <diagonal/>
    </border>
    <border>
      <left style="medium">
        <color auto="1"/>
      </left>
      <right/>
      <top style="medium">
        <color auto="1"/>
      </top>
      <bottom style="thin">
        <color auto="1"/>
      </bottom>
      <diagonal/>
    </border>
    <border>
      <left/>
      <right/>
      <top style="medium">
        <color auto="1"/>
      </top>
      <bottom style="thin">
        <color auto="1"/>
      </bottom>
      <diagonal/>
    </border>
    <border>
      <left style="medium">
        <color auto="1"/>
      </left>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style="thin">
        <color indexed="64"/>
      </left>
      <right style="thin">
        <color indexed="64"/>
      </right>
      <top style="thin">
        <color indexed="64"/>
      </top>
      <bottom/>
      <diagonal/>
    </border>
    <border>
      <left style="hair">
        <color auto="1"/>
      </left>
      <right style="hair">
        <color auto="1"/>
      </right>
      <top style="hair">
        <color auto="1"/>
      </top>
      <bottom style="hair">
        <color auto="1"/>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style="medium">
        <color auto="1"/>
      </top>
      <bottom style="thin">
        <color indexed="64"/>
      </bottom>
      <diagonal/>
    </border>
    <border>
      <left/>
      <right style="thin">
        <color indexed="64"/>
      </right>
      <top style="medium">
        <color auto="1"/>
      </top>
      <bottom style="thin">
        <color indexed="64"/>
      </bottom>
      <diagonal/>
    </border>
  </borders>
  <cellStyleXfs count="9">
    <xf numFmtId="0" fontId="0" fillId="0" borderId="0"/>
    <xf numFmtId="43" fontId="1" fillId="0" borderId="0" applyFont="0" applyFill="0" applyBorder="0" applyAlignment="0" applyProtection="0"/>
    <xf numFmtId="164"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19" fillId="0" borderId="0"/>
    <xf numFmtId="0" fontId="22" fillId="0" borderId="0"/>
    <xf numFmtId="171" fontId="27" fillId="0" borderId="0" applyFont="0" applyFill="0" applyBorder="0" applyAlignment="0" applyProtection="0"/>
    <xf numFmtId="174" fontId="1" fillId="0" borderId="0" applyFont="0" applyFill="0" applyBorder="0" applyAlignment="0" applyProtection="0"/>
  </cellStyleXfs>
  <cellXfs count="277">
    <xf numFmtId="0" fontId="0" fillId="0" borderId="0" xfId="0"/>
    <xf numFmtId="0" fontId="4" fillId="0" borderId="0" xfId="0" applyFont="1" applyAlignment="1">
      <alignment horizontal="center"/>
    </xf>
    <xf numFmtId="0" fontId="5" fillId="0" borderId="0" xfId="0" applyFont="1"/>
    <xf numFmtId="0" fontId="6" fillId="0" borderId="0" xfId="0" applyFont="1"/>
    <xf numFmtId="0" fontId="6" fillId="0" borderId="0" xfId="0" applyFont="1" applyAlignment="1">
      <alignment horizontal="center" vertical="center"/>
    </xf>
    <xf numFmtId="0" fontId="0" fillId="0" borderId="0" xfId="0" applyAlignment="1">
      <alignment horizontal="center"/>
    </xf>
    <xf numFmtId="0" fontId="2" fillId="0" borderId="0" xfId="0" applyFont="1" applyAlignment="1">
      <alignment horizontal="left"/>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vertical="center" wrapText="1"/>
    </xf>
    <xf numFmtId="0" fontId="0" fillId="0" borderId="5" xfId="0"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vertical="center" wrapText="1"/>
    </xf>
    <xf numFmtId="164" fontId="0" fillId="0" borderId="5" xfId="2" applyFont="1" applyBorder="1" applyAlignment="1">
      <alignment vertical="center" wrapText="1"/>
    </xf>
    <xf numFmtId="164" fontId="0" fillId="0" borderId="6" xfId="2" applyFont="1" applyBorder="1" applyAlignment="1">
      <alignment vertical="center" wrapText="1"/>
    </xf>
    <xf numFmtId="0" fontId="11" fillId="0" borderId="10" xfId="0" applyFont="1" applyFill="1" applyBorder="1" applyAlignment="1">
      <alignment horizontal="center" vertical="center"/>
    </xf>
    <xf numFmtId="0" fontId="0" fillId="0" borderId="10" xfId="0" applyBorder="1" applyAlignment="1">
      <alignment horizontal="center" vertical="center" wrapText="1"/>
    </xf>
    <xf numFmtId="0" fontId="11" fillId="0" borderId="7" xfId="0" applyFont="1" applyFill="1" applyBorder="1" applyAlignment="1">
      <alignment horizontal="center" vertical="center"/>
    </xf>
    <xf numFmtId="0" fontId="0" fillId="0" borderId="7" xfId="0" applyBorder="1" applyAlignment="1">
      <alignment horizontal="center" vertical="center" wrapText="1"/>
    </xf>
    <xf numFmtId="0" fontId="11" fillId="0" borderId="13" xfId="0" applyFont="1" applyFill="1" applyBorder="1" applyAlignment="1">
      <alignment horizontal="center" vertical="center"/>
    </xf>
    <xf numFmtId="0" fontId="0" fillId="0" borderId="14" xfId="0" applyBorder="1" applyAlignment="1">
      <alignment vertical="center" wrapText="1"/>
    </xf>
    <xf numFmtId="164" fontId="0" fillId="0" borderId="0" xfId="2" applyFont="1" applyBorder="1" applyAlignment="1">
      <alignment vertical="center" wrapText="1"/>
    </xf>
    <xf numFmtId="0" fontId="0" fillId="3" borderId="5" xfId="0" applyFill="1" applyBorder="1" applyAlignment="1">
      <alignment horizontal="center" vertical="center" wrapText="1"/>
    </xf>
    <xf numFmtId="164" fontId="0" fillId="0" borderId="0" xfId="0" applyNumberFormat="1"/>
    <xf numFmtId="0" fontId="0" fillId="0" borderId="5" xfId="0" applyFill="1" applyBorder="1"/>
    <xf numFmtId="0" fontId="12" fillId="0" borderId="5" xfId="0" applyFont="1" applyFill="1" applyBorder="1" applyAlignment="1">
      <alignment vertical="center" wrapText="1"/>
    </xf>
    <xf numFmtId="0" fontId="12" fillId="0" borderId="5" xfId="0" applyFont="1" applyFill="1" applyBorder="1" applyAlignment="1">
      <alignment horizontal="center" vertical="center" wrapText="1"/>
    </xf>
    <xf numFmtId="164" fontId="0" fillId="0" borderId="0" xfId="2" applyFont="1"/>
    <xf numFmtId="168" fontId="0" fillId="0" borderId="5" xfId="2" applyNumberFormat="1" applyFont="1" applyFill="1" applyBorder="1"/>
    <xf numFmtId="168" fontId="2" fillId="0" borderId="0" xfId="2" applyNumberFormat="1" applyFont="1"/>
    <xf numFmtId="168" fontId="13" fillId="0" borderId="0" xfId="2" applyNumberFormat="1" applyFont="1"/>
    <xf numFmtId="0" fontId="0" fillId="0" borderId="14" xfId="0" applyBorder="1" applyAlignment="1">
      <alignment horizontal="center" vertical="center" wrapText="1"/>
    </xf>
    <xf numFmtId="0" fontId="14" fillId="0" borderId="5" xfId="0" applyFont="1" applyBorder="1" applyAlignment="1">
      <alignment vertical="center"/>
    </xf>
    <xf numFmtId="165" fontId="14" fillId="0" borderId="5" xfId="1" applyNumberFormat="1" applyFont="1" applyBorder="1" applyAlignment="1">
      <alignment vertical="center"/>
    </xf>
    <xf numFmtId="0" fontId="0" fillId="0" borderId="15" xfId="0" applyBorder="1" applyAlignment="1">
      <alignment vertical="center" wrapText="1"/>
    </xf>
    <xf numFmtId="0" fontId="0" fillId="0" borderId="15" xfId="0" applyFill="1" applyBorder="1" applyAlignment="1">
      <alignment vertical="center" wrapText="1"/>
    </xf>
    <xf numFmtId="0" fontId="14" fillId="0" borderId="5" xfId="0" applyFont="1" applyBorder="1" applyAlignment="1">
      <alignment horizontal="justify" vertical="center"/>
    </xf>
    <xf numFmtId="43" fontId="14" fillId="0" borderId="5" xfId="1" applyNumberFormat="1" applyFont="1" applyBorder="1" applyAlignment="1">
      <alignment vertical="center"/>
    </xf>
    <xf numFmtId="0" fontId="16" fillId="0" borderId="5" xfId="0" applyFont="1" applyBorder="1" applyAlignment="1">
      <alignment horizontal="justify" vertical="center"/>
    </xf>
    <xf numFmtId="0" fontId="15" fillId="0" borderId="5" xfId="0" applyFont="1" applyBorder="1" applyAlignment="1">
      <alignment horizontal="justify" vertical="center"/>
    </xf>
    <xf numFmtId="0" fontId="15" fillId="0" borderId="5" xfId="0" applyFont="1" applyBorder="1"/>
    <xf numFmtId="165" fontId="15" fillId="0" borderId="5" xfId="1" applyNumberFormat="1" applyFont="1" applyBorder="1"/>
    <xf numFmtId="0" fontId="0" fillId="0" borderId="5" xfId="0" applyBorder="1"/>
    <xf numFmtId="165" fontId="14" fillId="0" borderId="5" xfId="1" applyNumberFormat="1" applyFont="1" applyFill="1" applyBorder="1" applyAlignment="1">
      <alignment vertical="center"/>
    </xf>
    <xf numFmtId="9" fontId="0" fillId="0" borderId="0" xfId="0" applyNumberFormat="1"/>
    <xf numFmtId="168" fontId="0" fillId="0" borderId="0" xfId="0" applyNumberFormat="1"/>
    <xf numFmtId="168" fontId="0" fillId="0" borderId="5" xfId="2" applyNumberFormat="1" applyFont="1" applyBorder="1" applyAlignment="1">
      <alignment horizontal="center" vertical="center" wrapText="1"/>
    </xf>
    <xf numFmtId="0" fontId="2" fillId="0" borderId="5" xfId="0" applyFont="1" applyBorder="1" applyAlignment="1">
      <alignment horizontal="center" wrapText="1"/>
    </xf>
    <xf numFmtId="0" fontId="0" fillId="3" borderId="5" xfId="0" applyNumberFormat="1" applyFill="1" applyBorder="1" applyAlignment="1">
      <alignment horizontal="center" vertical="center" wrapText="1"/>
    </xf>
    <xf numFmtId="164" fontId="0" fillId="3" borderId="5" xfId="2" applyFont="1" applyFill="1" applyBorder="1" applyAlignment="1">
      <alignment horizontal="center" vertical="center" wrapText="1"/>
    </xf>
    <xf numFmtId="168" fontId="0" fillId="0" borderId="5" xfId="0" applyNumberFormat="1" applyBorder="1" applyAlignment="1">
      <alignment horizontal="center"/>
    </xf>
    <xf numFmtId="164" fontId="0" fillId="3" borderId="5" xfId="2" applyFont="1" applyFill="1" applyBorder="1" applyAlignment="1">
      <alignment horizontal="center" wrapText="1"/>
    </xf>
    <xf numFmtId="168" fontId="0" fillId="0" borderId="5" xfId="0" applyNumberFormat="1" applyBorder="1" applyAlignment="1">
      <alignment horizontal="center" vertical="center"/>
    </xf>
    <xf numFmtId="164" fontId="4" fillId="0" borderId="0" xfId="2" applyFont="1"/>
    <xf numFmtId="164" fontId="2" fillId="0" borderId="2" xfId="2" applyFont="1" applyBorder="1" applyAlignment="1">
      <alignment horizontal="center" vertical="center" wrapText="1"/>
    </xf>
    <xf numFmtId="164" fontId="2" fillId="0" borderId="3" xfId="2" applyFont="1" applyBorder="1" applyAlignment="1">
      <alignment horizontal="center" vertical="center" wrapText="1"/>
    </xf>
    <xf numFmtId="164" fontId="0" fillId="0" borderId="0" xfId="2" applyFont="1" applyBorder="1"/>
    <xf numFmtId="164" fontId="0" fillId="0" borderId="10" xfId="2" applyFont="1" applyBorder="1" applyAlignment="1">
      <alignment vertical="center" wrapText="1"/>
    </xf>
    <xf numFmtId="164" fontId="0" fillId="0" borderId="7" xfId="2" applyFont="1" applyBorder="1" applyAlignment="1">
      <alignment vertical="center" wrapText="1"/>
    </xf>
    <xf numFmtId="164" fontId="0" fillId="0" borderId="13" xfId="2" applyFont="1" applyBorder="1" applyAlignment="1">
      <alignment vertical="center" wrapText="1"/>
    </xf>
    <xf numFmtId="0" fontId="0" fillId="0" borderId="16" xfId="0" applyBorder="1" applyAlignment="1">
      <alignment horizontal="center" vertical="center" wrapText="1"/>
    </xf>
    <xf numFmtId="0" fontId="0" fillId="0" borderId="5" xfId="0" applyFill="1" applyBorder="1" applyAlignment="1">
      <alignment horizontal="center" vertical="center" wrapText="1"/>
    </xf>
    <xf numFmtId="0" fontId="0" fillId="0" borderId="5" xfId="0" applyFill="1" applyBorder="1" applyAlignment="1">
      <alignment vertical="center" wrapText="1"/>
    </xf>
    <xf numFmtId="0" fontId="0" fillId="0" borderId="5" xfId="0" applyFill="1" applyBorder="1" applyAlignment="1">
      <alignment vertical="center"/>
    </xf>
    <xf numFmtId="0" fontId="0" fillId="0" borderId="21" xfId="0" applyBorder="1" applyAlignment="1">
      <alignment horizontal="center" vertical="center" wrapText="1"/>
    </xf>
    <xf numFmtId="0" fontId="2" fillId="0" borderId="0" xfId="0" applyFont="1" applyBorder="1"/>
    <xf numFmtId="0" fontId="0" fillId="0" borderId="16" xfId="0" applyBorder="1" applyAlignment="1">
      <alignment horizontal="center" vertical="center"/>
    </xf>
    <xf numFmtId="0" fontId="0" fillId="0" borderId="5" xfId="0" applyBorder="1" applyAlignment="1">
      <alignment horizontal="center" vertical="center"/>
    </xf>
    <xf numFmtId="0" fontId="17" fillId="0" borderId="5" xfId="0" applyFont="1" applyBorder="1" applyAlignment="1">
      <alignment horizontal="center" vertical="center" wrapText="1"/>
    </xf>
    <xf numFmtId="168" fontId="0" fillId="0" borderId="5" xfId="2" applyNumberFormat="1" applyFont="1" applyBorder="1"/>
    <xf numFmtId="10" fontId="0" fillId="0" borderId="0" xfId="4" applyNumberFormat="1" applyFont="1"/>
    <xf numFmtId="0" fontId="2" fillId="0" borderId="0" xfId="0" applyFont="1"/>
    <xf numFmtId="0" fontId="2" fillId="0" borderId="5" xfId="0" applyFont="1" applyBorder="1"/>
    <xf numFmtId="10" fontId="0" fillId="0" borderId="5" xfId="4" applyNumberFormat="1" applyFont="1" applyBorder="1"/>
    <xf numFmtId="0" fontId="0" fillId="0" borderId="0" xfId="0" applyBorder="1"/>
    <xf numFmtId="168" fontId="0" fillId="0" borderId="0" xfId="2" applyNumberFormat="1" applyFont="1" applyBorder="1"/>
    <xf numFmtId="0" fontId="8" fillId="0" borderId="5" xfId="0" applyFont="1" applyBorder="1"/>
    <xf numFmtId="168" fontId="8" fillId="0" borderId="5" xfId="2" applyNumberFormat="1" applyFont="1" applyBorder="1"/>
    <xf numFmtId="0" fontId="2" fillId="0" borderId="0" xfId="0" applyFont="1" applyFill="1" applyBorder="1" applyAlignment="1">
      <alignment horizontal="center" vertical="center" wrapText="1"/>
    </xf>
    <xf numFmtId="0" fontId="18" fillId="0" borderId="0" xfId="0" applyFont="1"/>
    <xf numFmtId="0" fontId="2" fillId="0" borderId="5" xfId="0" applyFont="1" applyBorder="1" applyAlignment="1">
      <alignment horizontal="center"/>
    </xf>
    <xf numFmtId="0" fontId="2" fillId="0" borderId="5" xfId="0" applyFont="1" applyBorder="1" applyAlignment="1">
      <alignment horizontal="center" vertical="center"/>
    </xf>
    <xf numFmtId="0" fontId="0" fillId="0" borderId="0" xfId="0" applyAlignment="1">
      <alignment horizontal="center" vertical="center"/>
    </xf>
    <xf numFmtId="0" fontId="2" fillId="0" borderId="5" xfId="0" applyFont="1" applyBorder="1" applyAlignment="1">
      <alignment horizontal="center" vertical="center"/>
    </xf>
    <xf numFmtId="168" fontId="2" fillId="0" borderId="5" xfId="0" applyNumberFormat="1" applyFont="1" applyBorder="1"/>
    <xf numFmtId="0" fontId="2" fillId="0" borderId="5" xfId="0" applyFont="1" applyBorder="1" applyAlignment="1">
      <alignment horizontal="left" wrapText="1"/>
    </xf>
    <xf numFmtId="0" fontId="0" fillId="0" borderId="0" xfId="0" applyAlignment="1">
      <alignment horizontal="left" wrapText="1"/>
    </xf>
    <xf numFmtId="169" fontId="2" fillId="0" borderId="0" xfId="4" applyNumberFormat="1" applyFont="1" applyBorder="1"/>
    <xf numFmtId="0" fontId="19" fillId="4" borderId="0" xfId="5" applyFill="1"/>
    <xf numFmtId="0" fontId="20" fillId="4" borderId="0" xfId="5" applyFont="1" applyFill="1"/>
    <xf numFmtId="170" fontId="20" fillId="4" borderId="0" xfId="5" applyNumberFormat="1" applyFont="1" applyFill="1"/>
    <xf numFmtId="0" fontId="20" fillId="4" borderId="0" xfId="5" applyFont="1" applyFill="1" applyAlignment="1">
      <alignment horizontal="center"/>
    </xf>
    <xf numFmtId="0" fontId="21" fillId="4" borderId="0" xfId="5" applyFont="1" applyFill="1"/>
    <xf numFmtId="0" fontId="19" fillId="4" borderId="0" xfId="5" applyFill="1" applyAlignment="1">
      <alignment wrapText="1"/>
    </xf>
    <xf numFmtId="172" fontId="20" fillId="4" borderId="23" xfId="7" applyNumberFormat="1" applyFont="1" applyFill="1" applyBorder="1"/>
    <xf numFmtId="0" fontId="20" fillId="4" borderId="23" xfId="5" applyFont="1" applyFill="1" applyBorder="1"/>
    <xf numFmtId="170" fontId="20" fillId="4" borderId="23" xfId="7" applyNumberFormat="1" applyFont="1" applyFill="1" applyBorder="1"/>
    <xf numFmtId="170" fontId="21" fillId="4" borderId="23" xfId="7" applyNumberFormat="1" applyFont="1" applyFill="1" applyBorder="1" applyAlignment="1">
      <alignment horizontal="right"/>
    </xf>
    <xf numFmtId="0" fontId="20" fillId="4" borderId="23" xfId="5" applyFont="1" applyFill="1" applyBorder="1" applyAlignment="1">
      <alignment horizontal="center"/>
    </xf>
    <xf numFmtId="172" fontId="20" fillId="4" borderId="0" xfId="7" applyNumberFormat="1" applyFont="1" applyFill="1"/>
    <xf numFmtId="170" fontId="20" fillId="4" borderId="0" xfId="7" applyNumberFormat="1" applyFont="1" applyFill="1"/>
    <xf numFmtId="170" fontId="21" fillId="4" borderId="0" xfId="7" applyNumberFormat="1" applyFont="1" applyFill="1" applyBorder="1" applyAlignment="1">
      <alignment horizontal="right"/>
    </xf>
    <xf numFmtId="0" fontId="20" fillId="4" borderId="0" xfId="5" applyFont="1" applyFill="1" applyBorder="1"/>
    <xf numFmtId="0" fontId="20" fillId="4" borderId="0" xfId="5" applyFont="1" applyFill="1" applyBorder="1" applyAlignment="1">
      <alignment horizontal="center"/>
    </xf>
    <xf numFmtId="0" fontId="20" fillId="4" borderId="7" xfId="5" applyFont="1" applyFill="1" applyBorder="1" applyAlignment="1">
      <alignment horizontal="center"/>
    </xf>
    <xf numFmtId="0" fontId="20" fillId="4" borderId="24" xfId="5" applyFont="1" applyFill="1" applyBorder="1"/>
    <xf numFmtId="0" fontId="28" fillId="4" borderId="0" xfId="5" applyFont="1" applyFill="1"/>
    <xf numFmtId="0" fontId="21" fillId="4" borderId="0" xfId="5" applyFont="1" applyFill="1" applyAlignment="1">
      <alignment horizontal="left"/>
    </xf>
    <xf numFmtId="0" fontId="29" fillId="4" borderId="0" xfId="5" applyFont="1" applyFill="1" applyAlignment="1">
      <alignment horizontal="left"/>
    </xf>
    <xf numFmtId="0" fontId="28" fillId="4" borderId="0" xfId="5" applyFont="1" applyFill="1" applyAlignment="1">
      <alignment horizontal="left" vertical="center"/>
    </xf>
    <xf numFmtId="0" fontId="29" fillId="0" borderId="0" xfId="5" applyFont="1" applyAlignment="1"/>
    <xf numFmtId="2" fontId="0" fillId="0" borderId="0" xfId="0" applyNumberFormat="1"/>
    <xf numFmtId="173" fontId="0" fillId="0" borderId="5" xfId="0" applyNumberFormat="1" applyBorder="1" applyAlignment="1">
      <alignment horizontal="center"/>
    </xf>
    <xf numFmtId="0" fontId="0" fillId="0" borderId="8" xfId="0" applyFill="1" applyBorder="1" applyAlignment="1">
      <alignment horizontal="center" vertical="center" wrapText="1"/>
    </xf>
    <xf numFmtId="0" fontId="0" fillId="0" borderId="0" xfId="0" applyFill="1" applyBorder="1" applyAlignment="1">
      <alignment vertical="center" wrapText="1"/>
    </xf>
    <xf numFmtId="0" fontId="0" fillId="0" borderId="0" xfId="0" applyFill="1" applyBorder="1" applyAlignment="1">
      <alignment horizontal="center" vertical="center" wrapText="1"/>
    </xf>
    <xf numFmtId="164" fontId="0" fillId="3" borderId="0" xfId="2" applyFont="1" applyFill="1" applyBorder="1" applyAlignment="1">
      <alignment horizontal="center" wrapText="1"/>
    </xf>
    <xf numFmtId="168" fontId="0" fillId="0" borderId="0" xfId="0" applyNumberFormat="1" applyBorder="1" applyAlignment="1">
      <alignment horizontal="center"/>
    </xf>
    <xf numFmtId="0" fontId="18" fillId="0" borderId="0" xfId="0" applyFont="1" applyAlignment="1">
      <alignment horizontal="left"/>
    </xf>
    <xf numFmtId="0" fontId="0" fillId="5" borderId="0" xfId="0" applyFill="1"/>
    <xf numFmtId="164" fontId="0" fillId="5" borderId="0" xfId="2" applyFont="1" applyFill="1"/>
    <xf numFmtId="10" fontId="2" fillId="0" borderId="5" xfId="4" applyNumberFormat="1" applyFont="1" applyBorder="1"/>
    <xf numFmtId="0" fontId="3" fillId="0" borderId="0" xfId="0" applyFont="1" applyAlignment="1">
      <alignment vertical="top"/>
    </xf>
    <xf numFmtId="0" fontId="0" fillId="0" borderId="0" xfId="0" applyAlignment="1">
      <alignment wrapText="1"/>
    </xf>
    <xf numFmtId="0" fontId="0" fillId="0" borderId="0" xfId="0" applyAlignment="1">
      <alignment vertical="top"/>
    </xf>
    <xf numFmtId="0" fontId="2" fillId="0" borderId="0" xfId="0" applyFont="1" applyBorder="1" applyAlignment="1">
      <alignment horizontal="center" vertical="top"/>
    </xf>
    <xf numFmtId="0" fontId="2" fillId="0" borderId="0" xfId="0" applyFont="1" applyBorder="1" applyAlignment="1">
      <alignment horizontal="left" vertical="top"/>
    </xf>
    <xf numFmtId="0" fontId="2" fillId="0" borderId="0" xfId="0" applyFont="1" applyBorder="1" applyAlignment="1">
      <alignment vertical="top"/>
    </xf>
    <xf numFmtId="164" fontId="2" fillId="0" borderId="0" xfId="2" applyFont="1" applyBorder="1" applyAlignment="1">
      <alignment vertical="top"/>
    </xf>
    <xf numFmtId="0" fontId="10" fillId="0" borderId="9" xfId="0" applyFont="1" applyFill="1" applyBorder="1" applyAlignment="1">
      <alignment horizontal="left" vertical="center"/>
    </xf>
    <xf numFmtId="0" fontId="11" fillId="0" borderId="10" xfId="0" applyFont="1" applyFill="1" applyBorder="1" applyAlignment="1">
      <alignment horizontal="left" vertical="center"/>
    </xf>
    <xf numFmtId="0" fontId="0" fillId="0" borderId="10" xfId="0" applyBorder="1" applyAlignment="1">
      <alignment horizontal="left" vertical="center" wrapText="1"/>
    </xf>
    <xf numFmtId="164" fontId="0" fillId="0" borderId="10" xfId="2" applyFont="1" applyBorder="1" applyAlignment="1">
      <alignment horizontal="left" vertical="center" wrapText="1"/>
    </xf>
    <xf numFmtId="164" fontId="2" fillId="0" borderId="17" xfId="2" applyFont="1" applyBorder="1" applyAlignment="1">
      <alignment horizontal="left" vertical="center"/>
    </xf>
    <xf numFmtId="0" fontId="10" fillId="0" borderId="11" xfId="0" applyFont="1" applyFill="1" applyBorder="1" applyAlignment="1">
      <alignment horizontal="left" vertical="center"/>
    </xf>
    <xf numFmtId="0" fontId="11" fillId="0" borderId="7" xfId="0" applyFont="1" applyFill="1" applyBorder="1" applyAlignment="1">
      <alignment horizontal="left" vertical="center"/>
    </xf>
    <xf numFmtId="0" fontId="0" fillId="0" borderId="7" xfId="0" applyBorder="1" applyAlignment="1">
      <alignment horizontal="left" vertical="center" wrapText="1"/>
    </xf>
    <xf numFmtId="164" fontId="0" fillId="0" borderId="7" xfId="2" applyFont="1" applyBorder="1" applyAlignment="1">
      <alignment horizontal="left" vertical="center" wrapText="1"/>
    </xf>
    <xf numFmtId="0" fontId="10" fillId="0" borderId="12" xfId="0" applyFont="1" applyFill="1" applyBorder="1" applyAlignment="1">
      <alignment horizontal="left" vertical="center"/>
    </xf>
    <xf numFmtId="0" fontId="11" fillId="0" borderId="13" xfId="0" applyFont="1" applyFill="1" applyBorder="1" applyAlignment="1">
      <alignment horizontal="left" vertical="center"/>
    </xf>
    <xf numFmtId="167" fontId="11" fillId="0" borderId="13" xfId="0" applyNumberFormat="1" applyFont="1" applyFill="1" applyBorder="1" applyAlignment="1">
      <alignment horizontal="left" vertical="center"/>
    </xf>
    <xf numFmtId="164" fontId="0" fillId="0" borderId="13" xfId="2" applyFont="1" applyBorder="1" applyAlignment="1">
      <alignment horizontal="left" vertical="center" wrapText="1"/>
    </xf>
    <xf numFmtId="0" fontId="2" fillId="0" borderId="17" xfId="0" applyFont="1" applyBorder="1" applyAlignment="1">
      <alignment horizontal="center" vertical="center"/>
    </xf>
    <xf numFmtId="0" fontId="10" fillId="0" borderId="9" xfId="0" applyFont="1" applyFill="1" applyBorder="1" applyAlignment="1">
      <alignment vertical="center"/>
    </xf>
    <xf numFmtId="0" fontId="10" fillId="0" borderId="11" xfId="0" applyFont="1" applyFill="1" applyBorder="1" applyAlignment="1">
      <alignment vertical="center"/>
    </xf>
    <xf numFmtId="0" fontId="10" fillId="0" borderId="12" xfId="0" applyFont="1" applyFill="1" applyBorder="1" applyAlignment="1">
      <alignment vertical="center"/>
    </xf>
    <xf numFmtId="167" fontId="11" fillId="0" borderId="13" xfId="0" applyNumberFormat="1" applyFont="1" applyFill="1" applyBorder="1" applyAlignment="1">
      <alignment vertical="center"/>
    </xf>
    <xf numFmtId="0" fontId="11" fillId="0" borderId="13" xfId="0" applyFont="1" applyFill="1" applyBorder="1" applyAlignment="1">
      <alignment vertical="center"/>
    </xf>
    <xf numFmtId="0" fontId="0" fillId="0" borderId="5" xfId="0" applyNumberFormat="1" applyFill="1" applyBorder="1" applyAlignment="1">
      <alignment horizontal="center" vertical="center" wrapText="1"/>
    </xf>
    <xf numFmtId="0" fontId="2" fillId="0" borderId="5" xfId="0" applyFont="1" applyBorder="1" applyAlignment="1">
      <alignment horizontal="center" vertical="center"/>
    </xf>
    <xf numFmtId="0" fontId="2" fillId="0" borderId="5" xfId="0" applyFont="1" applyBorder="1" applyAlignment="1">
      <alignment horizontal="center" vertical="center" wrapText="1"/>
    </xf>
    <xf numFmtId="164" fontId="0" fillId="0" borderId="21" xfId="2" applyFont="1" applyBorder="1" applyAlignment="1">
      <alignment vertical="center" wrapText="1"/>
    </xf>
    <xf numFmtId="0" fontId="9" fillId="0" borderId="5" xfId="0" applyFont="1" applyBorder="1" applyAlignment="1">
      <alignment horizontal="center" vertical="center"/>
    </xf>
    <xf numFmtId="0" fontId="9" fillId="0" borderId="5" xfId="0" applyFont="1" applyBorder="1" applyAlignment="1">
      <alignment vertical="center"/>
    </xf>
    <xf numFmtId="164" fontId="9" fillId="0" borderId="5" xfId="2" applyFont="1" applyBorder="1" applyAlignment="1">
      <alignment vertical="center"/>
    </xf>
    <xf numFmtId="0" fontId="2" fillId="0" borderId="5" xfId="0" applyFont="1" applyBorder="1" applyAlignment="1">
      <alignment vertical="center" wrapText="1"/>
    </xf>
    <xf numFmtId="0" fontId="2" fillId="3" borderId="5" xfId="0" applyFont="1" applyFill="1" applyBorder="1" applyAlignment="1">
      <alignment horizontal="center" vertical="center" wrapText="1"/>
    </xf>
    <xf numFmtId="164" fontId="2" fillId="0" borderId="5" xfId="2" applyFont="1" applyBorder="1" applyAlignment="1">
      <alignment vertical="center" wrapText="1"/>
    </xf>
    <xf numFmtId="164" fontId="2" fillId="0" borderId="5" xfId="2" applyFont="1" applyBorder="1" applyAlignment="1">
      <alignment horizontal="center" vertical="center" wrapText="1"/>
    </xf>
    <xf numFmtId="164" fontId="2" fillId="0" borderId="17" xfId="2" applyFont="1" applyBorder="1" applyAlignment="1">
      <alignment horizontal="center" vertical="center"/>
    </xf>
    <xf numFmtId="0" fontId="0" fillId="0" borderId="26" xfId="0" applyBorder="1" applyAlignment="1">
      <alignment horizontal="center" vertical="center" wrapText="1"/>
    </xf>
    <xf numFmtId="0" fontId="0" fillId="0" borderId="21" xfId="0" applyBorder="1" applyAlignment="1">
      <alignment vertical="center" wrapText="1"/>
    </xf>
    <xf numFmtId="164" fontId="0" fillId="0" borderId="27" xfId="2" applyFont="1" applyBorder="1" applyAlignment="1">
      <alignment vertical="center" wrapText="1"/>
    </xf>
    <xf numFmtId="0" fontId="2" fillId="0" borderId="5" xfId="0" applyFont="1" applyFill="1" applyBorder="1" applyAlignment="1">
      <alignment horizontal="center" vertical="center" wrapText="1"/>
    </xf>
    <xf numFmtId="164" fontId="0" fillId="0" borderId="5" xfId="2" applyFont="1" applyFill="1" applyBorder="1" applyAlignment="1">
      <alignment horizontal="center" wrapText="1"/>
    </xf>
    <xf numFmtId="168" fontId="2" fillId="0" borderId="17" xfId="2" applyNumberFormat="1" applyFont="1" applyBorder="1" applyAlignment="1">
      <alignment vertical="center"/>
    </xf>
    <xf numFmtId="168" fontId="2" fillId="0" borderId="0" xfId="2" applyNumberFormat="1" applyFont="1" applyBorder="1" applyAlignment="1">
      <alignment vertical="top"/>
    </xf>
    <xf numFmtId="164" fontId="0" fillId="3" borderId="5" xfId="2" applyFont="1" applyFill="1" applyBorder="1" applyAlignment="1">
      <alignment vertical="center" wrapText="1"/>
    </xf>
    <xf numFmtId="0" fontId="2" fillId="0" borderId="5" xfId="0" applyFont="1" applyBorder="1" applyAlignment="1">
      <alignment horizontal="left" vertical="center" wrapText="1"/>
    </xf>
    <xf numFmtId="0" fontId="17" fillId="0" borderId="0" xfId="0" applyFont="1" applyAlignment="1">
      <alignment horizontal="left" wrapText="1"/>
    </xf>
    <xf numFmtId="0" fontId="17" fillId="0" borderId="0" xfId="0" applyFont="1" applyAlignment="1">
      <alignment wrapText="1"/>
    </xf>
    <xf numFmtId="0" fontId="30" fillId="0" borderId="0" xfId="0" applyFont="1" applyAlignment="1">
      <alignment vertical="center" wrapText="1"/>
    </xf>
    <xf numFmtId="0" fontId="30" fillId="0" borderId="0" xfId="0" applyFont="1" applyAlignment="1">
      <alignment horizontal="left" vertical="center" wrapText="1"/>
    </xf>
    <xf numFmtId="0" fontId="17" fillId="0" borderId="0" xfId="0" applyFont="1" applyAlignment="1">
      <alignment vertical="center" wrapText="1"/>
    </xf>
    <xf numFmtId="0" fontId="17" fillId="0" borderId="0" xfId="0" applyFont="1" applyAlignment="1">
      <alignment horizontal="center" vertical="center" wrapText="1"/>
    </xf>
    <xf numFmtId="0" fontId="17" fillId="0" borderId="0" xfId="0" applyFont="1" applyAlignment="1">
      <alignment vertical="center" wrapText="1"/>
    </xf>
    <xf numFmtId="0" fontId="17" fillId="0" borderId="0" xfId="0" applyFont="1" applyAlignment="1">
      <alignment wrapText="1"/>
    </xf>
    <xf numFmtId="0" fontId="17" fillId="0" borderId="0" xfId="0" applyFont="1" applyAlignment="1">
      <alignment horizontal="center" wrapText="1"/>
    </xf>
    <xf numFmtId="0" fontId="17" fillId="0" borderId="0" xfId="0" applyFont="1" applyAlignment="1">
      <alignment horizontal="center" vertical="center" wrapText="1"/>
    </xf>
    <xf numFmtId="0" fontId="30" fillId="3" borderId="0" xfId="0" applyFont="1" applyFill="1" applyAlignment="1">
      <alignment horizontal="left" vertical="center" wrapText="1"/>
    </xf>
    <xf numFmtId="0" fontId="30" fillId="3" borderId="0" xfId="0" applyFont="1" applyFill="1" applyAlignment="1">
      <alignment vertical="center" wrapText="1"/>
    </xf>
    <xf numFmtId="0" fontId="2" fillId="0" borderId="5" xfId="0" applyFont="1" applyBorder="1" applyAlignment="1">
      <alignment horizontal="center" vertical="center"/>
    </xf>
    <xf numFmtId="0" fontId="2" fillId="0" borderId="5" xfId="0" applyFont="1" applyBorder="1" applyAlignment="1">
      <alignment horizontal="center" vertical="center" wrapText="1"/>
    </xf>
    <xf numFmtId="0" fontId="2" fillId="0" borderId="5" xfId="0" applyFont="1" applyBorder="1" applyAlignment="1">
      <alignment horizontal="center" vertical="center" wrapText="1"/>
    </xf>
    <xf numFmtId="0" fontId="31" fillId="0" borderId="5" xfId="0" applyFont="1" applyBorder="1" applyAlignment="1">
      <alignment vertical="center" wrapText="1"/>
    </xf>
    <xf numFmtId="0" fontId="31" fillId="0" borderId="5" xfId="0" applyFont="1" applyBorder="1" applyAlignment="1">
      <alignment horizontal="center" vertical="center" wrapText="1"/>
    </xf>
    <xf numFmtId="0" fontId="31" fillId="0" borderId="5" xfId="0" applyFont="1" applyFill="1" applyBorder="1" applyAlignment="1">
      <alignment horizontal="center" vertical="center" wrapText="1"/>
    </xf>
    <xf numFmtId="164" fontId="31" fillId="0" borderId="5" xfId="2" applyFont="1" applyBorder="1" applyAlignment="1">
      <alignment vertical="center" wrapText="1"/>
    </xf>
    <xf numFmtId="0" fontId="31" fillId="0" borderId="0" xfId="0" applyFont="1"/>
    <xf numFmtId="164" fontId="31" fillId="3" borderId="5" xfId="2" applyFont="1" applyFill="1" applyBorder="1" applyAlignment="1">
      <alignment horizontal="center" wrapText="1"/>
    </xf>
    <xf numFmtId="168" fontId="31" fillId="0" borderId="5" xfId="0" applyNumberFormat="1" applyFont="1" applyBorder="1" applyAlignment="1">
      <alignment horizontal="center"/>
    </xf>
    <xf numFmtId="0" fontId="30" fillId="0" borderId="0" xfId="0" applyFont="1" applyAlignment="1">
      <alignment horizontal="center" vertical="center" wrapText="1"/>
    </xf>
    <xf numFmtId="164" fontId="31" fillId="3" borderId="5" xfId="2" applyFont="1" applyFill="1" applyBorder="1" applyAlignment="1">
      <alignment vertical="center" wrapText="1"/>
    </xf>
    <xf numFmtId="0" fontId="17" fillId="3" borderId="0" xfId="0" applyFont="1" applyFill="1" applyAlignment="1">
      <alignment horizontal="center" vertical="center" wrapText="1"/>
    </xf>
    <xf numFmtId="44" fontId="0" fillId="0" borderId="0" xfId="0" applyNumberFormat="1"/>
    <xf numFmtId="0" fontId="2" fillId="0" borderId="5" xfId="0" applyFont="1" applyBorder="1" applyAlignment="1">
      <alignment horizontal="center" vertical="center"/>
    </xf>
    <xf numFmtId="164" fontId="0" fillId="0" borderId="5" xfId="2" applyFont="1" applyBorder="1"/>
    <xf numFmtId="0" fontId="34" fillId="0" borderId="25" xfId="0" applyFont="1" applyFill="1" applyBorder="1" applyAlignment="1">
      <alignment horizontal="left" vertical="center" wrapText="1"/>
    </xf>
    <xf numFmtId="0" fontId="32" fillId="6" borderId="0" xfId="0" applyFont="1" applyFill="1" applyBorder="1" applyAlignment="1">
      <alignment horizontal="center" vertical="top"/>
    </xf>
    <xf numFmtId="0" fontId="32" fillId="6" borderId="0" xfId="0" applyFont="1" applyFill="1" applyBorder="1" applyAlignment="1">
      <alignment horizontal="left" vertical="top"/>
    </xf>
    <xf numFmtId="0" fontId="32" fillId="6" borderId="0" xfId="0" applyFont="1" applyFill="1" applyBorder="1" applyAlignment="1">
      <alignment vertical="top"/>
    </xf>
    <xf numFmtId="164" fontId="32" fillId="6" borderId="0" xfId="2" applyFont="1" applyFill="1" applyBorder="1" applyAlignment="1">
      <alignment vertical="top"/>
    </xf>
    <xf numFmtId="168" fontId="32" fillId="6" borderId="0" xfId="2" applyNumberFormat="1" applyFont="1" applyFill="1" applyBorder="1" applyAlignment="1">
      <alignment vertical="top"/>
    </xf>
    <xf numFmtId="0" fontId="35" fillId="6" borderId="0" xfId="0" applyFont="1" applyFill="1" applyBorder="1" applyAlignment="1">
      <alignment horizontal="left"/>
    </xf>
    <xf numFmtId="0" fontId="33" fillId="6" borderId="0" xfId="0" applyFont="1" applyFill="1" applyBorder="1"/>
    <xf numFmtId="0" fontId="33" fillId="6" borderId="0" xfId="0" applyFont="1" applyFill="1" applyBorder="1" applyAlignment="1">
      <alignment horizontal="center"/>
    </xf>
    <xf numFmtId="164" fontId="33" fillId="6" borderId="0" xfId="2" applyFont="1" applyFill="1" applyBorder="1"/>
    <xf numFmtId="0" fontId="32" fillId="6" borderId="0" xfId="0" applyFont="1" applyFill="1" applyBorder="1" applyAlignment="1">
      <alignment horizontal="center" vertical="center"/>
    </xf>
    <xf numFmtId="168" fontId="32" fillId="6" borderId="0" xfId="2" applyNumberFormat="1" applyFont="1" applyFill="1" applyBorder="1" applyAlignment="1">
      <alignment vertical="center"/>
    </xf>
    <xf numFmtId="0" fontId="37" fillId="6" borderId="0" xfId="0" applyFont="1" applyFill="1" applyBorder="1" applyAlignment="1">
      <alignment vertical="center"/>
    </xf>
    <xf numFmtId="0" fontId="38" fillId="6" borderId="0" xfId="0" applyFont="1" applyFill="1" applyBorder="1" applyAlignment="1">
      <alignment horizontal="center" vertical="center"/>
    </xf>
    <xf numFmtId="0" fontId="33" fillId="6" borderId="0" xfId="0" applyFont="1" applyFill="1" applyBorder="1" applyAlignment="1">
      <alignment horizontal="center" vertical="center" wrapText="1"/>
    </xf>
    <xf numFmtId="164" fontId="33" fillId="6" borderId="0" xfId="2" applyFont="1" applyFill="1" applyBorder="1" applyAlignment="1">
      <alignment vertical="center" wrapText="1"/>
    </xf>
    <xf numFmtId="167" fontId="38" fillId="6" borderId="0" xfId="0" applyNumberFormat="1" applyFont="1" applyFill="1" applyBorder="1" applyAlignment="1">
      <alignment vertical="center"/>
    </xf>
    <xf numFmtId="0" fontId="38" fillId="6" borderId="0" xfId="0" applyFont="1" applyFill="1" applyBorder="1" applyAlignment="1">
      <alignment vertical="center"/>
    </xf>
    <xf numFmtId="0" fontId="32" fillId="6" borderId="0" xfId="0" applyFont="1" applyFill="1" applyBorder="1" applyAlignment="1">
      <alignment horizontal="left"/>
    </xf>
    <xf numFmtId="0" fontId="10" fillId="0" borderId="5" xfId="0" applyFont="1" applyFill="1" applyBorder="1" applyAlignment="1">
      <alignment vertical="center"/>
    </xf>
    <xf numFmtId="168" fontId="2" fillId="0" borderId="5" xfId="2" applyNumberFormat="1" applyFont="1" applyBorder="1" applyAlignment="1">
      <alignment vertical="center"/>
    </xf>
    <xf numFmtId="0" fontId="0" fillId="6" borderId="5" xfId="0" applyFill="1" applyBorder="1" applyAlignment="1">
      <alignment vertical="center" wrapText="1"/>
    </xf>
    <xf numFmtId="0" fontId="0" fillId="0" borderId="7" xfId="0" applyFill="1" applyBorder="1" applyAlignment="1">
      <alignment horizontal="center" vertical="center" wrapText="1"/>
    </xf>
    <xf numFmtId="0" fontId="0" fillId="6" borderId="5" xfId="0" applyFill="1" applyBorder="1" applyAlignment="1">
      <alignment horizontal="center" vertical="center" wrapText="1"/>
    </xf>
    <xf numFmtId="0" fontId="0" fillId="6" borderId="0" xfId="0" applyFill="1" applyBorder="1" applyAlignment="1">
      <alignment vertical="center" wrapText="1"/>
    </xf>
    <xf numFmtId="0" fontId="2" fillId="0" borderId="5" xfId="0" applyFont="1" applyBorder="1" applyAlignment="1">
      <alignment horizontal="center" vertical="center" wrapText="1"/>
    </xf>
    <xf numFmtId="0" fontId="2" fillId="0" borderId="25" xfId="0" applyFont="1" applyBorder="1" applyAlignment="1">
      <alignment horizontal="left" vertical="center" wrapText="1"/>
    </xf>
    <xf numFmtId="0" fontId="2" fillId="0" borderId="7" xfId="0" applyFont="1" applyBorder="1" applyAlignment="1">
      <alignment horizontal="left" vertical="center" wrapText="1"/>
    </xf>
    <xf numFmtId="0" fontId="2" fillId="0" borderId="22" xfId="0" applyFont="1" applyBorder="1" applyAlignment="1">
      <alignment horizontal="left" vertical="center" wrapText="1"/>
    </xf>
    <xf numFmtId="0" fontId="2" fillId="0" borderId="28" xfId="0" applyFont="1" applyBorder="1" applyAlignment="1">
      <alignment horizontal="left" vertical="center" wrapText="1"/>
    </xf>
    <xf numFmtId="0" fontId="2" fillId="0" borderId="10" xfId="0" applyFont="1" applyBorder="1" applyAlignment="1">
      <alignment horizontal="left" vertical="center" wrapText="1"/>
    </xf>
    <xf numFmtId="0" fontId="2" fillId="0" borderId="29" xfId="0" applyFont="1" applyBorder="1" applyAlignment="1">
      <alignment horizontal="left" vertical="center" wrapText="1"/>
    </xf>
    <xf numFmtId="0" fontId="3" fillId="0" borderId="0" xfId="0" applyFont="1" applyAlignment="1">
      <alignment horizontal="left" vertical="center" wrapText="1"/>
    </xf>
    <xf numFmtId="0" fontId="36" fillId="6" borderId="0" xfId="0" applyFont="1" applyFill="1" applyBorder="1" applyAlignment="1">
      <alignment horizontal="left" vertical="center" wrapText="1"/>
    </xf>
    <xf numFmtId="0" fontId="32" fillId="6" borderId="0" xfId="0" applyFont="1" applyFill="1" applyBorder="1" applyAlignment="1">
      <alignment horizontal="left" vertical="center" wrapText="1"/>
    </xf>
    <xf numFmtId="0" fontId="9" fillId="0" borderId="5" xfId="0" applyFont="1" applyBorder="1" applyAlignment="1">
      <alignment horizontal="left" vertical="center" wrapText="1"/>
    </xf>
    <xf numFmtId="0" fontId="8" fillId="2" borderId="5" xfId="0" applyFont="1" applyFill="1" applyBorder="1" applyAlignment="1">
      <alignment horizontal="center" vertical="center" wrapText="1"/>
    </xf>
    <xf numFmtId="0" fontId="34" fillId="0" borderId="25" xfId="0" applyFont="1" applyFill="1" applyBorder="1" applyAlignment="1">
      <alignment horizontal="left" vertical="center" wrapText="1"/>
    </xf>
    <xf numFmtId="0" fontId="2" fillId="0" borderId="18" xfId="0" applyFont="1" applyBorder="1" applyAlignment="1">
      <alignment horizontal="left" vertical="center" wrapText="1"/>
    </xf>
    <xf numFmtId="0" fontId="2" fillId="0" borderId="19" xfId="0" applyFont="1" applyBorder="1" applyAlignment="1">
      <alignment horizontal="left" vertical="center" wrapText="1"/>
    </xf>
    <xf numFmtId="0" fontId="2" fillId="0" borderId="20" xfId="0" applyFont="1" applyBorder="1" applyAlignment="1">
      <alignment horizontal="left" vertical="center" wrapText="1"/>
    </xf>
    <xf numFmtId="0" fontId="2" fillId="0" borderId="0" xfId="0" applyFont="1" applyFill="1" applyBorder="1" applyAlignment="1">
      <alignment horizontal="center" vertical="center" wrapText="1"/>
    </xf>
    <xf numFmtId="0" fontId="8" fillId="2" borderId="5" xfId="0" applyFont="1" applyFill="1" applyBorder="1" applyAlignment="1">
      <alignment horizontal="left" vertical="center" wrapText="1"/>
    </xf>
    <xf numFmtId="0" fontId="0" fillId="0" borderId="0" xfId="0" applyAlignment="1">
      <alignment horizontal="left" wrapText="1"/>
    </xf>
    <xf numFmtId="168" fontId="2" fillId="0" borderId="5" xfId="0" applyNumberFormat="1" applyFont="1" applyBorder="1" applyAlignment="1">
      <alignment horizontal="center" vertical="center"/>
    </xf>
    <xf numFmtId="0" fontId="2" fillId="0" borderId="5" xfId="0" applyFont="1" applyBorder="1" applyAlignment="1">
      <alignment horizontal="center" vertical="center"/>
    </xf>
    <xf numFmtId="0" fontId="2" fillId="0" borderId="14" xfId="0" applyFont="1" applyBorder="1" applyAlignment="1">
      <alignment horizontal="center" vertical="center"/>
    </xf>
    <xf numFmtId="0" fontId="2" fillId="0" borderId="21" xfId="0" applyFont="1" applyBorder="1" applyAlignment="1">
      <alignment horizontal="center" vertical="center"/>
    </xf>
    <xf numFmtId="0" fontId="2" fillId="0" borderId="16" xfId="0" applyFont="1" applyBorder="1" applyAlignment="1">
      <alignment horizontal="center" vertical="center"/>
    </xf>
    <xf numFmtId="168" fontId="2" fillId="0" borderId="14" xfId="0" applyNumberFormat="1" applyFont="1" applyBorder="1" applyAlignment="1">
      <alignment horizontal="center" vertical="center"/>
    </xf>
    <xf numFmtId="168" fontId="2" fillId="0" borderId="21" xfId="0" applyNumberFormat="1" applyFont="1" applyBorder="1" applyAlignment="1">
      <alignment horizontal="center" vertical="center"/>
    </xf>
    <xf numFmtId="168" fontId="2" fillId="0" borderId="16" xfId="0" applyNumberFormat="1" applyFont="1" applyBorder="1" applyAlignment="1">
      <alignment horizontal="center" vertical="center"/>
    </xf>
    <xf numFmtId="0" fontId="2" fillId="0" borderId="5" xfId="0" applyFont="1" applyBorder="1" applyAlignment="1">
      <alignment horizontal="center" vertical="center" wrapText="1"/>
    </xf>
    <xf numFmtId="0" fontId="0" fillId="0" borderId="25" xfId="0" applyBorder="1" applyAlignment="1">
      <alignment horizontal="left" wrapText="1"/>
    </xf>
    <xf numFmtId="0" fontId="0" fillId="0" borderId="7" xfId="0" applyBorder="1" applyAlignment="1">
      <alignment horizontal="left" wrapText="1"/>
    </xf>
    <xf numFmtId="0" fontId="0" fillId="0" borderId="22" xfId="0" applyBorder="1" applyAlignment="1">
      <alignment horizontal="left" wrapText="1"/>
    </xf>
    <xf numFmtId="0" fontId="20" fillId="4" borderId="7" xfId="5" applyFont="1" applyFill="1" applyBorder="1" applyAlignment="1">
      <alignment horizontal="center" wrapText="1"/>
    </xf>
    <xf numFmtId="0" fontId="22" fillId="0" borderId="7" xfId="6" applyFont="1" applyBorder="1" applyAlignment="1">
      <alignment wrapText="1"/>
    </xf>
    <xf numFmtId="0" fontId="20" fillId="4" borderId="0" xfId="5" applyFont="1" applyFill="1" applyAlignment="1">
      <alignment wrapText="1"/>
    </xf>
    <xf numFmtId="0" fontId="22" fillId="0" borderId="0" xfId="6" applyAlignment="1">
      <alignment wrapText="1"/>
    </xf>
    <xf numFmtId="0" fontId="23" fillId="0" borderId="0" xfId="6" applyFont="1" applyAlignment="1">
      <alignment wrapText="1"/>
    </xf>
    <xf numFmtId="0" fontId="22" fillId="0" borderId="0" xfId="6" applyAlignment="1"/>
    <xf numFmtId="0" fontId="29" fillId="0" borderId="0" xfId="5" applyFont="1" applyAlignment="1">
      <alignment wrapText="1"/>
    </xf>
    <xf numFmtId="0" fontId="28" fillId="4" borderId="0" xfId="5" applyFont="1" applyFill="1" applyAlignment="1">
      <alignment horizontal="left" vertical="center" wrapText="1"/>
    </xf>
    <xf numFmtId="0" fontId="22" fillId="0" borderId="0" xfId="6" applyAlignment="1">
      <alignment horizontal="left" wrapText="1"/>
    </xf>
    <xf numFmtId="0" fontId="28" fillId="4" borderId="0" xfId="5" applyFont="1" applyFill="1" applyAlignment="1">
      <alignment wrapText="1"/>
    </xf>
    <xf numFmtId="1" fontId="28" fillId="4" borderId="0" xfId="5" applyNumberFormat="1" applyFont="1" applyFill="1" applyBorder="1" applyAlignment="1">
      <alignment horizontal="left" wrapText="1"/>
    </xf>
    <xf numFmtId="0" fontId="20" fillId="4" borderId="24" xfId="5" applyFont="1" applyFill="1" applyBorder="1" applyAlignment="1">
      <alignment horizontal="center" vertical="center" wrapText="1"/>
    </xf>
    <xf numFmtId="0" fontId="20" fillId="4" borderId="23" xfId="5" applyFont="1" applyFill="1" applyBorder="1" applyAlignment="1">
      <alignment horizontal="center" vertical="center" wrapText="1"/>
    </xf>
    <xf numFmtId="0" fontId="20" fillId="4" borderId="7" xfId="5" applyFont="1" applyFill="1" applyBorder="1" applyAlignment="1">
      <alignment horizontal="center"/>
    </xf>
    <xf numFmtId="0" fontId="8" fillId="2" borderId="5" xfId="0" applyFont="1" applyFill="1" applyBorder="1" applyAlignment="1" applyProtection="1">
      <alignment horizontal="center" vertical="center" wrapText="1"/>
    </xf>
    <xf numFmtId="0" fontId="9" fillId="0" borderId="5" xfId="0" applyFont="1" applyBorder="1" applyAlignment="1" applyProtection="1">
      <alignment horizontal="center" vertical="center"/>
    </xf>
    <xf numFmtId="0" fontId="9" fillId="0" borderId="5" xfId="0" applyFont="1" applyBorder="1" applyAlignment="1" applyProtection="1">
      <alignment vertical="center"/>
    </xf>
    <xf numFmtId="164" fontId="9" fillId="0" borderId="5" xfId="2" applyFont="1" applyBorder="1" applyAlignment="1" applyProtection="1">
      <alignment vertical="center"/>
    </xf>
    <xf numFmtId="0" fontId="2" fillId="0" borderId="5" xfId="0" applyFont="1" applyBorder="1" applyAlignment="1" applyProtection="1">
      <alignment horizontal="center" vertical="center" wrapText="1"/>
    </xf>
    <xf numFmtId="164" fontId="2" fillId="0" borderId="5" xfId="2" applyFont="1" applyBorder="1" applyAlignment="1" applyProtection="1">
      <alignment horizontal="center" vertical="center" wrapText="1"/>
    </xf>
    <xf numFmtId="164" fontId="2" fillId="0" borderId="5" xfId="2" applyFont="1" applyBorder="1" applyAlignment="1" applyProtection="1">
      <alignment vertical="center" wrapText="1"/>
      <protection locked="0"/>
    </xf>
    <xf numFmtId="164" fontId="0" fillId="0" borderId="5" xfId="2" applyFont="1" applyBorder="1" applyAlignment="1" applyProtection="1">
      <alignment vertical="center" wrapText="1"/>
      <protection locked="0"/>
    </xf>
    <xf numFmtId="164" fontId="0" fillId="0" borderId="6" xfId="2" applyFont="1" applyBorder="1" applyAlignment="1" applyProtection="1">
      <alignment vertical="center" wrapText="1"/>
      <protection locked="0"/>
    </xf>
  </cellXfs>
  <cellStyles count="9">
    <cellStyle name="Millares" xfId="1" builtinId="3"/>
    <cellStyle name="Millares 3" xfId="7"/>
    <cellStyle name="Moneda" xfId="2" builtinId="4"/>
    <cellStyle name="Moneda 2" xfId="3"/>
    <cellStyle name="Moneda 3" xfId="8"/>
    <cellStyle name="Normal" xfId="0" builtinId="0"/>
    <cellStyle name="Normal 2" xfId="5"/>
    <cellStyle name="Normal 3" xfId="6"/>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cap="all" baseline="0">
                <a:solidFill>
                  <a:schemeClr val="tx1">
                    <a:lumMod val="65000"/>
                    <a:lumOff val="35000"/>
                  </a:schemeClr>
                </a:solidFill>
                <a:latin typeface="+mn-lt"/>
                <a:ea typeface="+mn-ea"/>
                <a:cs typeface="+mn-cs"/>
              </a:defRPr>
            </a:pPr>
            <a:r>
              <a:rPr lang="es-AR" sz="1000"/>
              <a:t>composición</a:t>
            </a:r>
            <a:r>
              <a:rPr lang="es-AR" sz="1000" baseline="0"/>
              <a:t> contrato</a:t>
            </a:r>
          </a:p>
          <a:p>
            <a:pPr>
              <a:defRPr/>
            </a:pPr>
            <a:r>
              <a:rPr lang="es-AR" sz="1000" baseline="0"/>
              <a:t>ajuste alzado (rc 1 )</a:t>
            </a:r>
            <a:endParaRPr lang="es-AR" sz="1000"/>
          </a:p>
        </c:rich>
      </c:tx>
      <c:layout>
        <c:manualLayout>
          <c:xMode val="edge"/>
          <c:yMode val="edge"/>
          <c:x val="0.72526135294408955"/>
          <c:y val="6.3189178761236864E-2"/>
        </c:manualLayout>
      </c:layout>
      <c:overlay val="0"/>
      <c:spPr>
        <a:noFill/>
        <a:ln>
          <a:noFill/>
        </a:ln>
        <a:effectLst/>
      </c:spPr>
      <c:txPr>
        <a:bodyPr rot="0" spcFirstLastPara="1" vertOverflow="ellipsis" vert="horz" wrap="square" anchor="ctr" anchorCtr="1"/>
        <a:lstStyle/>
        <a:p>
          <a:pPr>
            <a:defRPr sz="1800" b="1" i="0" u="none" strike="noStrike" kern="1200" cap="all" baseline="0">
              <a:solidFill>
                <a:schemeClr val="tx1">
                  <a:lumMod val="65000"/>
                  <a:lumOff val="35000"/>
                </a:schemeClr>
              </a:solidFill>
              <a:latin typeface="+mn-lt"/>
              <a:ea typeface="+mn-ea"/>
              <a:cs typeface="+mn-cs"/>
            </a:defRPr>
          </a:pPr>
          <a:endParaRPr lang="es-AR"/>
        </a:p>
      </c:txPr>
    </c:title>
    <c:autoTitleDeleted val="0"/>
    <c:view3D>
      <c:rotX val="5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4.157415347833996E-2"/>
          <c:y val="9.5835989864793331E-2"/>
          <c:w val="0.94278501748493149"/>
          <c:h val="0.80355678513158824"/>
        </c:manualLayout>
      </c:layout>
      <c:pie3DChart>
        <c:varyColors val="1"/>
        <c:ser>
          <c:idx val="0"/>
          <c:order val="0"/>
          <c:dPt>
            <c:idx val="0"/>
            <c:bubble3D val="0"/>
            <c:explosion val="36"/>
            <c:spPr>
              <a:solidFill>
                <a:schemeClr val="accent1">
                  <a:alpha val="90000"/>
                </a:schemeClr>
              </a:solidFill>
              <a:ln w="19050">
                <a:solidFill>
                  <a:schemeClr val="accent1">
                    <a:lumMod val="75000"/>
                  </a:schemeClr>
                </a:solidFill>
              </a:ln>
              <a:effectLst>
                <a:innerShdw blurRad="114300">
                  <a:schemeClr val="accent1">
                    <a:lumMod val="75000"/>
                  </a:schemeClr>
                </a:innerShdw>
              </a:effectLst>
              <a:scene3d>
                <a:camera prst="orthographicFront"/>
                <a:lightRig rig="threePt" dir="t"/>
              </a:scene3d>
              <a:sp3d contourW="19050" prstMaterial="flat">
                <a:contourClr>
                  <a:schemeClr val="accent1">
                    <a:lumMod val="75000"/>
                  </a:schemeClr>
                </a:contourClr>
              </a:sp3d>
            </c:spPr>
            <c:extLst xmlns:c16r2="http://schemas.microsoft.com/office/drawing/2015/06/chart">
              <c:ext xmlns:c16="http://schemas.microsoft.com/office/drawing/2014/chart" uri="{C3380CC4-5D6E-409C-BE32-E72D297353CC}">
                <c16:uniqueId val="{00000007-EE4D-4FD1-A985-EBEEF3406599}"/>
              </c:ext>
            </c:extLst>
          </c:dPt>
          <c:dPt>
            <c:idx val="1"/>
            <c:bubble3D val="0"/>
            <c:spPr>
              <a:solidFill>
                <a:schemeClr val="accent2">
                  <a:alpha val="90000"/>
                </a:schemeClr>
              </a:solidFill>
              <a:ln w="19050">
                <a:solidFill>
                  <a:schemeClr val="accent2">
                    <a:lumMod val="75000"/>
                  </a:schemeClr>
                </a:solidFill>
              </a:ln>
              <a:effectLst>
                <a:innerShdw blurRad="114300">
                  <a:schemeClr val="accent2">
                    <a:lumMod val="75000"/>
                  </a:schemeClr>
                </a:innerShdw>
              </a:effectLst>
              <a:scene3d>
                <a:camera prst="orthographicFront"/>
                <a:lightRig rig="threePt" dir="t"/>
              </a:scene3d>
              <a:sp3d contourW="19050" prstMaterial="flat">
                <a:contourClr>
                  <a:schemeClr val="accent2">
                    <a:lumMod val="75000"/>
                  </a:schemeClr>
                </a:contourClr>
              </a:sp3d>
            </c:spPr>
            <c:extLst xmlns:c16r2="http://schemas.microsoft.com/office/drawing/2015/06/chart">
              <c:ext xmlns:c16="http://schemas.microsoft.com/office/drawing/2014/chart" uri="{C3380CC4-5D6E-409C-BE32-E72D297353CC}">
                <c16:uniqueId val="{00000006-EE4D-4FD1-A985-EBEEF3406599}"/>
              </c:ext>
            </c:extLst>
          </c:dPt>
          <c:dPt>
            <c:idx val="2"/>
            <c:bubble3D val="0"/>
            <c:spPr>
              <a:solidFill>
                <a:schemeClr val="accent3">
                  <a:alpha val="90000"/>
                </a:schemeClr>
              </a:solidFill>
              <a:ln w="19050">
                <a:solidFill>
                  <a:schemeClr val="accent3">
                    <a:lumMod val="75000"/>
                  </a:schemeClr>
                </a:solidFill>
              </a:ln>
              <a:effectLst>
                <a:innerShdw blurRad="114300">
                  <a:schemeClr val="accent3">
                    <a:lumMod val="75000"/>
                  </a:schemeClr>
                </a:innerShdw>
              </a:effectLst>
              <a:scene3d>
                <a:camera prst="orthographicFront"/>
                <a:lightRig rig="threePt" dir="t"/>
              </a:scene3d>
              <a:sp3d contourW="19050" prstMaterial="flat">
                <a:contourClr>
                  <a:schemeClr val="accent3">
                    <a:lumMod val="75000"/>
                  </a:schemeClr>
                </a:contourClr>
              </a:sp3d>
            </c:spPr>
            <c:extLst xmlns:c16r2="http://schemas.microsoft.com/office/drawing/2015/06/chart">
              <c:ext xmlns:c16="http://schemas.microsoft.com/office/drawing/2014/chart" uri="{C3380CC4-5D6E-409C-BE32-E72D297353CC}">
                <c16:uniqueId val="{00000001-EE4D-4FD1-A985-EBEEF3406599}"/>
              </c:ext>
            </c:extLst>
          </c:dPt>
          <c:dPt>
            <c:idx val="3"/>
            <c:bubble3D val="0"/>
            <c:spPr>
              <a:solidFill>
                <a:schemeClr val="accent4">
                  <a:alpha val="90000"/>
                </a:schemeClr>
              </a:solidFill>
              <a:ln w="19050">
                <a:solidFill>
                  <a:schemeClr val="accent4">
                    <a:lumMod val="75000"/>
                  </a:schemeClr>
                </a:solidFill>
              </a:ln>
              <a:effectLst>
                <a:innerShdw blurRad="114300">
                  <a:schemeClr val="accent4">
                    <a:lumMod val="75000"/>
                  </a:schemeClr>
                </a:innerShdw>
              </a:effectLst>
              <a:scene3d>
                <a:camera prst="orthographicFront"/>
                <a:lightRig rig="threePt" dir="t"/>
              </a:scene3d>
              <a:sp3d contourW="19050" prstMaterial="flat">
                <a:contourClr>
                  <a:schemeClr val="accent4">
                    <a:lumMod val="75000"/>
                  </a:schemeClr>
                </a:contourClr>
              </a:sp3d>
            </c:spPr>
            <c:extLst xmlns:c16r2="http://schemas.microsoft.com/office/drawing/2015/06/chart">
              <c:ext xmlns:c16="http://schemas.microsoft.com/office/drawing/2014/chart" uri="{C3380CC4-5D6E-409C-BE32-E72D297353CC}">
                <c16:uniqueId val="{00000002-EE4D-4FD1-A985-EBEEF3406599}"/>
              </c:ext>
            </c:extLst>
          </c:dPt>
          <c:dPt>
            <c:idx val="4"/>
            <c:bubble3D val="0"/>
            <c:spPr>
              <a:solidFill>
                <a:schemeClr val="accent5">
                  <a:alpha val="90000"/>
                </a:schemeClr>
              </a:solidFill>
              <a:ln w="19050">
                <a:solidFill>
                  <a:schemeClr val="accent5">
                    <a:lumMod val="75000"/>
                  </a:schemeClr>
                </a:solidFill>
              </a:ln>
              <a:effectLst>
                <a:innerShdw blurRad="114300">
                  <a:schemeClr val="accent5">
                    <a:lumMod val="75000"/>
                  </a:schemeClr>
                </a:innerShdw>
              </a:effectLst>
              <a:scene3d>
                <a:camera prst="orthographicFront"/>
                <a:lightRig rig="threePt" dir="t"/>
              </a:scene3d>
              <a:sp3d contourW="19050" prstMaterial="flat">
                <a:contourClr>
                  <a:schemeClr val="accent5">
                    <a:lumMod val="75000"/>
                  </a:schemeClr>
                </a:contourClr>
              </a:sp3d>
            </c:spPr>
            <c:extLst xmlns:c16r2="http://schemas.microsoft.com/office/drawing/2015/06/chart">
              <c:ext xmlns:c16="http://schemas.microsoft.com/office/drawing/2014/chart" uri="{C3380CC4-5D6E-409C-BE32-E72D297353CC}">
                <c16:uniqueId val="{00000003-EE4D-4FD1-A985-EBEEF3406599}"/>
              </c:ext>
            </c:extLst>
          </c:dPt>
          <c:dPt>
            <c:idx val="5"/>
            <c:bubble3D val="0"/>
            <c:spPr>
              <a:solidFill>
                <a:schemeClr val="accent6">
                  <a:alpha val="90000"/>
                </a:schemeClr>
              </a:solidFill>
              <a:ln w="19050">
                <a:solidFill>
                  <a:schemeClr val="accent6">
                    <a:lumMod val="75000"/>
                  </a:schemeClr>
                </a:solidFill>
              </a:ln>
              <a:effectLst>
                <a:innerShdw blurRad="114300">
                  <a:schemeClr val="accent6">
                    <a:lumMod val="75000"/>
                  </a:schemeClr>
                </a:innerShdw>
              </a:effectLst>
              <a:scene3d>
                <a:camera prst="orthographicFront"/>
                <a:lightRig rig="threePt" dir="t"/>
              </a:scene3d>
              <a:sp3d contourW="19050" prstMaterial="flat">
                <a:contourClr>
                  <a:schemeClr val="accent6">
                    <a:lumMod val="75000"/>
                  </a:schemeClr>
                </a:contourClr>
              </a:sp3d>
            </c:spPr>
            <c:extLst xmlns:c16r2="http://schemas.microsoft.com/office/drawing/2015/06/chart">
              <c:ext xmlns:c16="http://schemas.microsoft.com/office/drawing/2014/chart" uri="{C3380CC4-5D6E-409C-BE32-E72D297353CC}">
                <c16:uniqueId val="{00000004-EE4D-4FD1-A985-EBEEF3406599}"/>
              </c:ext>
            </c:extLst>
          </c:dPt>
          <c:dLbls>
            <c:dLbl>
              <c:idx val="0"/>
              <c:layout>
                <c:manualLayout>
                  <c:x val="5.0309454699017923E-2"/>
                  <c:y val="9.5440699670326506E-2"/>
                </c:manualLayout>
              </c:layout>
              <c:spPr>
                <a:solidFill>
                  <a:schemeClr val="lt1">
                    <a:alpha val="90000"/>
                  </a:schemeClr>
                </a:solidFill>
                <a:ln w="12700" cap="flat" cmpd="sng" algn="ctr">
                  <a:solidFill>
                    <a:schemeClr val="accent1"/>
                  </a:solidFill>
                  <a:round/>
                </a:ln>
                <a:effectLst>
                  <a:outerShdw blurRad="50800" dist="38100" dir="2700000" algn="tl" rotWithShape="0">
                    <a:schemeClr val="accent1">
                      <a:lumMod val="75000"/>
                      <a:alpha val="40000"/>
                    </a:schemeClr>
                  </a:outerShdw>
                </a:effectLst>
              </c:spPr>
              <c:txPr>
                <a:bodyPr rot="0" spcFirstLastPara="1" vertOverflow="clip" horzOverflow="clip" vert="horz" wrap="square" lIns="38100" tIns="19050" rIns="38100" bIns="19050" anchor="ctr" anchorCtr="1">
                  <a:spAutoFit/>
                </a:bodyPr>
                <a:lstStyle/>
                <a:p>
                  <a:pPr>
                    <a:defRPr sz="1000" b="0" i="0" u="none" strike="noStrike" kern="1200" baseline="0">
                      <a:solidFill>
                        <a:schemeClr val="accent1"/>
                      </a:solidFill>
                      <a:effectLst/>
                      <a:latin typeface="+mn-lt"/>
                      <a:ea typeface="+mn-ea"/>
                      <a:cs typeface="+mn-cs"/>
                    </a:defRPr>
                  </a:pPr>
                  <a:endParaRPr lang="es-AR"/>
                </a:p>
              </c:txPr>
              <c:dLblPos val="bestFit"/>
              <c:showLegendKey val="0"/>
              <c:showVal val="0"/>
              <c:showCatName val="1"/>
              <c:showSerName val="0"/>
              <c:showPercent val="0"/>
              <c:showBubbleSize val="0"/>
              <c:extLst xmlns:c16r2="http://schemas.microsoft.com/office/drawing/2015/06/chart">
                <c:ext xmlns:c16="http://schemas.microsoft.com/office/drawing/2014/chart" uri="{C3380CC4-5D6E-409C-BE32-E72D297353CC}">
                  <c16:uniqueId val="{00000007-EE4D-4FD1-A985-EBEEF3406599}"/>
                </c:ext>
                <c:ext xmlns:c15="http://schemas.microsoft.com/office/drawing/2012/chart" uri="{CE6537A1-D6FC-4f65-9D91-7224C49458BB}"/>
              </c:extLst>
            </c:dLbl>
            <c:dLbl>
              <c:idx val="1"/>
              <c:layout>
                <c:manualLayout>
                  <c:x val="-0.10205049245081989"/>
                  <c:y val="0.1075836425104634"/>
                </c:manualLayout>
              </c:layout>
              <c:spPr>
                <a:solidFill>
                  <a:schemeClr val="lt1">
                    <a:alpha val="90000"/>
                  </a:schemeClr>
                </a:solidFill>
                <a:ln w="12700" cap="flat" cmpd="sng" algn="ctr">
                  <a:solidFill>
                    <a:schemeClr val="accent2"/>
                  </a:solidFill>
                  <a:round/>
                </a:ln>
                <a:effectLst>
                  <a:outerShdw blurRad="50800" dist="38100" dir="2700000" algn="tl" rotWithShape="0">
                    <a:schemeClr val="accent2">
                      <a:lumMod val="75000"/>
                      <a:alpha val="40000"/>
                    </a:schemeClr>
                  </a:outerShdw>
                </a:effectLst>
              </c:spPr>
              <c:txPr>
                <a:bodyPr rot="0" spcFirstLastPara="1" vertOverflow="clip" horzOverflow="clip" vert="horz" wrap="square" lIns="38100" tIns="19050" rIns="38100" bIns="19050" anchor="ctr" anchorCtr="1">
                  <a:spAutoFit/>
                </a:bodyPr>
                <a:lstStyle/>
                <a:p>
                  <a:pPr>
                    <a:defRPr sz="1000" b="0" i="0" u="none" strike="noStrike" kern="1200" baseline="0">
                      <a:solidFill>
                        <a:schemeClr val="accent2"/>
                      </a:solidFill>
                      <a:effectLst/>
                      <a:latin typeface="+mn-lt"/>
                      <a:ea typeface="+mn-ea"/>
                      <a:cs typeface="+mn-cs"/>
                    </a:defRPr>
                  </a:pPr>
                  <a:endParaRPr lang="es-AR"/>
                </a:p>
              </c:txPr>
              <c:dLblPos val="bestFit"/>
              <c:showLegendKey val="0"/>
              <c:showVal val="0"/>
              <c:showCatName val="1"/>
              <c:showSerName val="0"/>
              <c:showPercent val="0"/>
              <c:showBubbleSize val="0"/>
              <c:extLst xmlns:c16r2="http://schemas.microsoft.com/office/drawing/2015/06/chart">
                <c:ext xmlns:c16="http://schemas.microsoft.com/office/drawing/2014/chart" uri="{C3380CC4-5D6E-409C-BE32-E72D297353CC}">
                  <c16:uniqueId val="{00000006-EE4D-4FD1-A985-EBEEF3406599}"/>
                </c:ext>
                <c:ext xmlns:c15="http://schemas.microsoft.com/office/drawing/2012/chart" uri="{CE6537A1-D6FC-4f65-9D91-7224C49458BB}"/>
              </c:extLst>
            </c:dLbl>
            <c:dLbl>
              <c:idx val="2"/>
              <c:layout>
                <c:manualLayout>
                  <c:x val="-0.13365583014994412"/>
                  <c:y val="0.19082943774070527"/>
                </c:manualLayout>
              </c:layout>
              <c:spPr>
                <a:solidFill>
                  <a:schemeClr val="lt1">
                    <a:alpha val="90000"/>
                  </a:schemeClr>
                </a:solidFill>
                <a:ln w="12700" cap="flat" cmpd="sng" algn="ctr">
                  <a:solidFill>
                    <a:schemeClr val="accent3"/>
                  </a:solidFill>
                  <a:round/>
                </a:ln>
                <a:effectLst>
                  <a:outerShdw blurRad="50800" dist="38100" dir="2700000" algn="tl" rotWithShape="0">
                    <a:schemeClr val="accent3">
                      <a:lumMod val="75000"/>
                      <a:alpha val="40000"/>
                    </a:schemeClr>
                  </a:outerShdw>
                </a:effectLst>
              </c:spPr>
              <c:txPr>
                <a:bodyPr rot="0" spcFirstLastPara="1" vertOverflow="clip" horzOverflow="clip" vert="horz" wrap="square" lIns="38100" tIns="19050" rIns="38100" bIns="19050" anchor="ctr" anchorCtr="1">
                  <a:spAutoFit/>
                </a:bodyPr>
                <a:lstStyle/>
                <a:p>
                  <a:pPr>
                    <a:defRPr sz="1000" b="0" i="0" u="none" strike="noStrike" kern="1200" baseline="0">
                      <a:solidFill>
                        <a:schemeClr val="accent3"/>
                      </a:solidFill>
                      <a:effectLst/>
                      <a:latin typeface="+mn-lt"/>
                      <a:ea typeface="+mn-ea"/>
                      <a:cs typeface="+mn-cs"/>
                    </a:defRPr>
                  </a:pPr>
                  <a:endParaRPr lang="es-AR"/>
                </a:p>
              </c:txPr>
              <c:dLblPos val="bestFit"/>
              <c:showLegendKey val="0"/>
              <c:showVal val="0"/>
              <c:showCatName val="1"/>
              <c:showSerName val="0"/>
              <c:showPercent val="0"/>
              <c:showBubbleSize val="0"/>
              <c:extLst xmlns:c16r2="http://schemas.microsoft.com/office/drawing/2015/06/chart">
                <c:ext xmlns:c16="http://schemas.microsoft.com/office/drawing/2014/chart" uri="{C3380CC4-5D6E-409C-BE32-E72D297353CC}">
                  <c16:uniqueId val="{00000001-EE4D-4FD1-A985-EBEEF3406599}"/>
                </c:ext>
                <c:ext xmlns:c15="http://schemas.microsoft.com/office/drawing/2012/chart" uri="{CE6537A1-D6FC-4f65-9D91-7224C49458BB}"/>
              </c:extLst>
            </c:dLbl>
            <c:dLbl>
              <c:idx val="3"/>
              <c:layout>
                <c:manualLayout>
                  <c:x val="-0.16868272654037056"/>
                  <c:y val="0.17496376922407317"/>
                </c:manualLayout>
              </c:layout>
              <c:spPr>
                <a:solidFill>
                  <a:schemeClr val="lt1">
                    <a:alpha val="90000"/>
                  </a:schemeClr>
                </a:solidFill>
                <a:ln w="12700" cap="flat" cmpd="sng" algn="ctr">
                  <a:solidFill>
                    <a:schemeClr val="accent4"/>
                  </a:solidFill>
                  <a:round/>
                </a:ln>
                <a:effectLst>
                  <a:outerShdw blurRad="50800" dist="38100" dir="2700000" algn="tl" rotWithShape="0">
                    <a:schemeClr val="accent4">
                      <a:lumMod val="75000"/>
                      <a:alpha val="40000"/>
                    </a:schemeClr>
                  </a:outerShdw>
                </a:effectLst>
              </c:spPr>
              <c:txPr>
                <a:bodyPr rot="0" spcFirstLastPara="1" vertOverflow="clip" horzOverflow="clip" vert="horz" wrap="square" lIns="38100" tIns="19050" rIns="38100" bIns="19050" anchor="ctr" anchorCtr="1">
                  <a:spAutoFit/>
                </a:bodyPr>
                <a:lstStyle/>
                <a:p>
                  <a:pPr>
                    <a:defRPr sz="1000" b="0" i="0" u="none" strike="noStrike" kern="1200" baseline="0">
                      <a:solidFill>
                        <a:schemeClr val="accent4"/>
                      </a:solidFill>
                      <a:effectLst/>
                      <a:latin typeface="+mn-lt"/>
                      <a:ea typeface="+mn-ea"/>
                      <a:cs typeface="+mn-cs"/>
                    </a:defRPr>
                  </a:pPr>
                  <a:endParaRPr lang="es-AR"/>
                </a:p>
              </c:txPr>
              <c:dLblPos val="bestFit"/>
              <c:showLegendKey val="0"/>
              <c:showVal val="0"/>
              <c:showCatName val="1"/>
              <c:showSerName val="0"/>
              <c:showPercent val="0"/>
              <c:showBubbleSize val="0"/>
              <c:extLst xmlns:c16r2="http://schemas.microsoft.com/office/drawing/2015/06/chart">
                <c:ext xmlns:c16="http://schemas.microsoft.com/office/drawing/2014/chart" uri="{C3380CC4-5D6E-409C-BE32-E72D297353CC}">
                  <c16:uniqueId val="{00000002-EE4D-4FD1-A985-EBEEF3406599}"/>
                </c:ext>
                <c:ext xmlns:c15="http://schemas.microsoft.com/office/drawing/2012/chart" uri="{CE6537A1-D6FC-4f65-9D91-7224C49458BB}"/>
              </c:extLst>
            </c:dLbl>
            <c:dLbl>
              <c:idx val="4"/>
              <c:layout>
                <c:manualLayout>
                  <c:x val="-0.1813229905667732"/>
                  <c:y val="0.11058120987265115"/>
                </c:manualLayout>
              </c:layout>
              <c:spPr>
                <a:solidFill>
                  <a:schemeClr val="lt1">
                    <a:alpha val="90000"/>
                  </a:schemeClr>
                </a:solidFill>
                <a:ln w="12700" cap="flat" cmpd="sng" algn="ctr">
                  <a:solidFill>
                    <a:schemeClr val="accent5"/>
                  </a:solidFill>
                  <a:round/>
                </a:ln>
                <a:effectLst>
                  <a:outerShdw blurRad="50800" dist="38100" dir="2700000" algn="tl" rotWithShape="0">
                    <a:schemeClr val="accent5">
                      <a:lumMod val="75000"/>
                      <a:alpha val="40000"/>
                    </a:schemeClr>
                  </a:outerShdw>
                </a:effectLst>
              </c:spPr>
              <c:txPr>
                <a:bodyPr rot="0" spcFirstLastPara="1" vertOverflow="clip" horzOverflow="clip" vert="horz" wrap="square" lIns="38100" tIns="19050" rIns="38100" bIns="19050" anchor="ctr" anchorCtr="1">
                  <a:spAutoFit/>
                </a:bodyPr>
                <a:lstStyle/>
                <a:p>
                  <a:pPr>
                    <a:defRPr sz="1000" b="0" i="0" u="none" strike="noStrike" kern="1200" baseline="0">
                      <a:solidFill>
                        <a:schemeClr val="accent5"/>
                      </a:solidFill>
                      <a:effectLst/>
                      <a:latin typeface="+mn-lt"/>
                      <a:ea typeface="+mn-ea"/>
                      <a:cs typeface="+mn-cs"/>
                    </a:defRPr>
                  </a:pPr>
                  <a:endParaRPr lang="es-AR"/>
                </a:p>
              </c:txPr>
              <c:dLblPos val="bestFit"/>
              <c:showLegendKey val="0"/>
              <c:showVal val="0"/>
              <c:showCatName val="1"/>
              <c:showSerName val="0"/>
              <c:showPercent val="0"/>
              <c:showBubbleSize val="0"/>
              <c:extLst xmlns:c16r2="http://schemas.microsoft.com/office/drawing/2015/06/chart">
                <c:ext xmlns:c16="http://schemas.microsoft.com/office/drawing/2014/chart" uri="{C3380CC4-5D6E-409C-BE32-E72D297353CC}">
                  <c16:uniqueId val="{00000003-EE4D-4FD1-A985-EBEEF3406599}"/>
                </c:ext>
                <c:ext xmlns:c15="http://schemas.microsoft.com/office/drawing/2012/chart" uri="{CE6537A1-D6FC-4f65-9D91-7224C49458BB}"/>
              </c:extLst>
            </c:dLbl>
            <c:dLbl>
              <c:idx val="5"/>
              <c:layout>
                <c:manualLayout>
                  <c:x val="-0.10941542579454795"/>
                  <c:y val="3.2678571848687103E-2"/>
                </c:manualLayout>
              </c:layout>
              <c:spPr>
                <a:solidFill>
                  <a:schemeClr val="lt1">
                    <a:alpha val="90000"/>
                  </a:schemeClr>
                </a:solidFill>
                <a:ln w="12700" cap="flat" cmpd="sng" algn="ctr">
                  <a:solidFill>
                    <a:schemeClr val="accent6"/>
                  </a:solidFill>
                  <a:round/>
                </a:ln>
                <a:effectLst>
                  <a:outerShdw blurRad="50800" dist="38100" dir="2700000" algn="tl" rotWithShape="0">
                    <a:schemeClr val="accent6">
                      <a:lumMod val="75000"/>
                      <a:alpha val="40000"/>
                    </a:schemeClr>
                  </a:outerShdw>
                </a:effectLst>
              </c:spPr>
              <c:txPr>
                <a:bodyPr rot="0" spcFirstLastPara="1" vertOverflow="clip" horzOverflow="clip" vert="horz" wrap="square" lIns="38100" tIns="19050" rIns="38100" bIns="19050" anchor="ctr" anchorCtr="1">
                  <a:noAutofit/>
                </a:bodyPr>
                <a:lstStyle/>
                <a:p>
                  <a:pPr>
                    <a:defRPr sz="1000" b="0" i="0" u="none" strike="noStrike" kern="1200" baseline="0">
                      <a:solidFill>
                        <a:schemeClr val="accent6"/>
                      </a:solidFill>
                      <a:effectLst/>
                      <a:latin typeface="+mn-lt"/>
                      <a:ea typeface="+mn-ea"/>
                      <a:cs typeface="+mn-cs"/>
                    </a:defRPr>
                  </a:pPr>
                  <a:endParaRPr lang="es-AR"/>
                </a:p>
              </c:txPr>
              <c:dLblPos val="bestFit"/>
              <c:showLegendKey val="0"/>
              <c:showVal val="0"/>
              <c:showCatName val="1"/>
              <c:showSerName val="0"/>
              <c:showPercent val="0"/>
              <c:showBubbleSize val="0"/>
              <c:extLst xmlns:c16r2="http://schemas.microsoft.com/office/drawing/2015/06/chart">
                <c:ext xmlns:c16="http://schemas.microsoft.com/office/drawing/2014/chart" uri="{C3380CC4-5D6E-409C-BE32-E72D297353CC}">
                  <c16:uniqueId val="{00000004-EE4D-4FD1-A985-EBEEF3406599}"/>
                </c:ext>
                <c:ext xmlns:c15="http://schemas.microsoft.com/office/drawing/2012/chart" uri="{CE6537A1-D6FC-4f65-9D91-7224C49458BB}">
                  <c15:layout>
                    <c:manualLayout>
                      <c:w val="0.22304584179807382"/>
                      <c:h val="0.19362914095197559"/>
                    </c:manualLayout>
                  </c15:layout>
                </c:ext>
              </c:extLst>
            </c:dLbl>
            <c:spPr>
              <a:solidFill>
                <a:sysClr val="window" lastClr="FFFFFF">
                  <a:alpha val="90000"/>
                </a:sysClr>
              </a:solidFill>
              <a:ln w="12700" cap="flat" cmpd="sng" algn="ctr">
                <a:solidFill>
                  <a:srgbClr val="4472C4"/>
                </a:solidFill>
                <a:round/>
              </a:ln>
              <a:effectLst>
                <a:outerShdw blurRad="50800" dist="38100" dir="2700000" algn="tl" rotWithShape="0">
                  <a:srgbClr val="4472C4">
                    <a:lumMod val="75000"/>
                    <a:alpha val="40000"/>
                  </a:srgbClr>
                </a:outerShdw>
              </a:effectLst>
            </c:spPr>
            <c:dLblPos val="inEnd"/>
            <c:showLegendKey val="0"/>
            <c:showVal val="0"/>
            <c:showCatName val="1"/>
            <c:showSerName val="0"/>
            <c:showPercent val="0"/>
            <c:showBubbleSize val="0"/>
            <c:showLeaderLines val="1"/>
            <c:leaderLines>
              <c:spPr>
                <a:ln w="9525">
                  <a:solidFill>
                    <a:schemeClr val="tx1">
                      <a:lumMod val="35000"/>
                      <a:lumOff val="65000"/>
                    </a:schemeClr>
                  </a:solidFill>
                </a:ln>
                <a:effectLst/>
              </c:spPr>
            </c:leaderLines>
            <c:extLst xmlns:c16r2="http://schemas.microsoft.com/office/drawing/2015/06/chart">
              <c:ext xmlns:c15="http://schemas.microsoft.com/office/drawing/2012/chart" uri="{CE6537A1-D6FC-4f65-9D91-7224C49458BB}"/>
            </c:extLst>
          </c:dLbls>
          <c:cat>
            <c:multiLvlStrRef>
              <c:f>Estudio!$B$21:$C$26</c:f>
              <c:multiLvlStrCache>
                <c:ptCount val="6"/>
                <c:lvl>
                  <c:pt idx="0">
                    <c:v>RRHH Directo e indirecto</c:v>
                  </c:pt>
                  <c:pt idx="1">
                    <c:v>Sub contratos</c:v>
                  </c:pt>
                  <c:pt idx="2">
                    <c:v>Insumos y consumibles</c:v>
                  </c:pt>
                  <c:pt idx="3">
                    <c:v>Material mantenimiento</c:v>
                  </c:pt>
                  <c:pt idx="4">
                    <c:v>Equipamiento y consumibles limpieza</c:v>
                  </c:pt>
                  <c:pt idx="5">
                    <c:v>Oferta por servicio de reposicion inmediata.</c:v>
                  </c:pt>
                </c:lvl>
                <c:lvl>
                  <c:pt idx="0">
                    <c:v>1,01 y 1,02</c:v>
                  </c:pt>
                  <c:pt idx="5">
                    <c:v>1.03</c:v>
                  </c:pt>
                </c:lvl>
              </c:multiLvlStrCache>
            </c:multiLvlStrRef>
          </c:cat>
          <c:val>
            <c:numRef>
              <c:f>Estudio!$F$21:$F$26</c:f>
              <c:numCache>
                <c:formatCode>_-"$"* #,##0_-;\-"$"* #,##0_-;_-"$"* "-"??_-;_-@_-</c:formatCode>
                <c:ptCount val="6"/>
                <c:pt idx="0">
                  <c:v>19680000</c:v>
                </c:pt>
                <c:pt idx="1">
                  <c:v>1219600</c:v>
                </c:pt>
                <c:pt idx="2">
                  <c:v>2915200</c:v>
                </c:pt>
                <c:pt idx="3">
                  <c:v>924000</c:v>
                </c:pt>
                <c:pt idx="4">
                  <c:v>1073717</c:v>
                </c:pt>
                <c:pt idx="5">
                  <c:v>2664753.3599999994</c:v>
                </c:pt>
              </c:numCache>
            </c:numRef>
          </c:val>
          <c:extLst xmlns:c16r2="http://schemas.microsoft.com/office/drawing/2015/06/chart">
            <c:ext xmlns:c16="http://schemas.microsoft.com/office/drawing/2014/chart" uri="{C3380CC4-5D6E-409C-BE32-E72D297353CC}">
              <c16:uniqueId val="{00000000-EE4D-4FD1-A985-EBEEF3406599}"/>
            </c:ext>
          </c:extLst>
        </c:ser>
        <c:dLbls>
          <c:dLblPos val="inEnd"/>
          <c:showLegendKey val="0"/>
          <c:showVal val="0"/>
          <c:showCatName val="1"/>
          <c:showSerName val="0"/>
          <c:showPercent val="0"/>
          <c:showBubbleSize val="0"/>
          <c:showLeaderLines val="1"/>
        </c:dLbls>
      </c:pie3DChart>
      <c:spPr>
        <a:noFill/>
        <a:ln>
          <a:noFill/>
        </a:ln>
        <a:effectLst/>
      </c:spPr>
    </c:plotArea>
    <c:plotVisOnly val="1"/>
    <c:dispBlanksAs val="gap"/>
    <c:showDLblsOverMax val="0"/>
    <c:extLst xmlns:c16r2="http://schemas.microsoft.com/office/drawing/2015/06/char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A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cap="all" baseline="0">
                <a:solidFill>
                  <a:schemeClr val="tx1">
                    <a:lumMod val="65000"/>
                    <a:lumOff val="35000"/>
                  </a:schemeClr>
                </a:solidFill>
                <a:latin typeface="+mn-lt"/>
                <a:ea typeface="+mn-ea"/>
                <a:cs typeface="+mn-cs"/>
              </a:defRPr>
            </a:pPr>
            <a:r>
              <a:rPr lang="es-AR" sz="1200" baseline="0"/>
              <a:t>Composición </a:t>
            </a:r>
          </a:p>
          <a:p>
            <a:pPr>
              <a:defRPr/>
            </a:pPr>
            <a:r>
              <a:rPr lang="es-AR" sz="1200" baseline="0"/>
              <a:t>OC Abierta (RC 2)</a:t>
            </a:r>
          </a:p>
        </c:rich>
      </c:tx>
      <c:layout>
        <c:manualLayout>
          <c:xMode val="edge"/>
          <c:yMode val="edge"/>
          <c:x val="0.1124918440313071"/>
          <c:y val="8.3128914949237354E-2"/>
        </c:manualLayout>
      </c:layout>
      <c:overlay val="0"/>
      <c:spPr>
        <a:noFill/>
        <a:ln>
          <a:noFill/>
        </a:ln>
        <a:effectLst/>
      </c:spPr>
      <c:txPr>
        <a:bodyPr rot="0" spcFirstLastPara="1" vertOverflow="ellipsis" vert="horz" wrap="square" anchor="ctr" anchorCtr="1"/>
        <a:lstStyle/>
        <a:p>
          <a:pPr>
            <a:defRPr sz="1800" b="1" i="0" u="none" strike="noStrike" kern="1200" cap="all" baseline="0">
              <a:solidFill>
                <a:schemeClr val="tx1">
                  <a:lumMod val="65000"/>
                  <a:lumOff val="35000"/>
                </a:schemeClr>
              </a:solidFill>
              <a:latin typeface="+mn-lt"/>
              <a:ea typeface="+mn-ea"/>
              <a:cs typeface="+mn-cs"/>
            </a:defRPr>
          </a:pPr>
          <a:endParaRPr lang="es-AR"/>
        </a:p>
      </c:txPr>
    </c:title>
    <c:autoTitleDeleted val="0"/>
    <c:view3D>
      <c:rotX val="5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0"/>
          <c:order val="0"/>
          <c:dPt>
            <c:idx val="0"/>
            <c:bubble3D val="0"/>
            <c:spPr>
              <a:solidFill>
                <a:schemeClr val="accent1">
                  <a:alpha val="90000"/>
                </a:schemeClr>
              </a:solidFill>
              <a:ln w="19050">
                <a:solidFill>
                  <a:schemeClr val="accent1">
                    <a:lumMod val="75000"/>
                  </a:schemeClr>
                </a:solidFill>
              </a:ln>
              <a:effectLst>
                <a:innerShdw blurRad="114300">
                  <a:schemeClr val="accent1">
                    <a:lumMod val="75000"/>
                  </a:schemeClr>
                </a:innerShdw>
              </a:effectLst>
              <a:scene3d>
                <a:camera prst="orthographicFront"/>
                <a:lightRig rig="threePt" dir="t"/>
              </a:scene3d>
              <a:sp3d contourW="19050" prstMaterial="flat">
                <a:contourClr>
                  <a:schemeClr val="accent1">
                    <a:lumMod val="75000"/>
                  </a:schemeClr>
                </a:contourClr>
              </a:sp3d>
            </c:spPr>
            <c:extLst xmlns:c16r2="http://schemas.microsoft.com/office/drawing/2015/06/chart">
              <c:ext xmlns:c16="http://schemas.microsoft.com/office/drawing/2014/chart" uri="{C3380CC4-5D6E-409C-BE32-E72D297353CC}">
                <c16:uniqueId val="{00000003-11E8-40EC-823B-E7925E34C69C}"/>
              </c:ext>
            </c:extLst>
          </c:dPt>
          <c:dPt>
            <c:idx val="1"/>
            <c:bubble3D val="0"/>
            <c:spPr>
              <a:solidFill>
                <a:schemeClr val="accent2">
                  <a:alpha val="90000"/>
                </a:schemeClr>
              </a:solidFill>
              <a:ln w="19050">
                <a:solidFill>
                  <a:schemeClr val="accent2">
                    <a:lumMod val="75000"/>
                  </a:schemeClr>
                </a:solidFill>
              </a:ln>
              <a:effectLst>
                <a:innerShdw blurRad="114300">
                  <a:schemeClr val="accent2">
                    <a:lumMod val="75000"/>
                  </a:schemeClr>
                </a:innerShdw>
              </a:effectLst>
              <a:scene3d>
                <a:camera prst="orthographicFront"/>
                <a:lightRig rig="threePt" dir="t"/>
              </a:scene3d>
              <a:sp3d contourW="19050" prstMaterial="flat">
                <a:contourClr>
                  <a:schemeClr val="accent2">
                    <a:lumMod val="75000"/>
                  </a:schemeClr>
                </a:contourClr>
              </a:sp3d>
            </c:spPr>
            <c:extLst xmlns:c16r2="http://schemas.microsoft.com/office/drawing/2015/06/chart">
              <c:ext xmlns:c16="http://schemas.microsoft.com/office/drawing/2014/chart" uri="{C3380CC4-5D6E-409C-BE32-E72D297353CC}">
                <c16:uniqueId val="{00000001-11E8-40EC-823B-E7925E34C69C}"/>
              </c:ext>
            </c:extLst>
          </c:dPt>
          <c:dPt>
            <c:idx val="2"/>
            <c:bubble3D val="0"/>
            <c:explosion val="50"/>
            <c:spPr>
              <a:solidFill>
                <a:schemeClr val="accent3">
                  <a:alpha val="90000"/>
                </a:schemeClr>
              </a:solidFill>
              <a:ln w="19050">
                <a:solidFill>
                  <a:schemeClr val="accent3">
                    <a:lumMod val="75000"/>
                  </a:schemeClr>
                </a:solidFill>
              </a:ln>
              <a:effectLst>
                <a:innerShdw blurRad="114300">
                  <a:schemeClr val="accent3">
                    <a:lumMod val="75000"/>
                  </a:schemeClr>
                </a:innerShdw>
              </a:effectLst>
              <a:scene3d>
                <a:camera prst="orthographicFront"/>
                <a:lightRig rig="threePt" dir="t"/>
              </a:scene3d>
              <a:sp3d contourW="19050" prstMaterial="flat">
                <a:contourClr>
                  <a:schemeClr val="accent3">
                    <a:lumMod val="75000"/>
                  </a:schemeClr>
                </a:contourClr>
              </a:sp3d>
            </c:spPr>
            <c:extLst xmlns:c16r2="http://schemas.microsoft.com/office/drawing/2015/06/chart">
              <c:ext xmlns:c16="http://schemas.microsoft.com/office/drawing/2014/chart" uri="{C3380CC4-5D6E-409C-BE32-E72D297353CC}">
                <c16:uniqueId val="{00000002-11E8-40EC-823B-E7925E34C69C}"/>
              </c:ext>
            </c:extLst>
          </c:dPt>
          <c:dLbls>
            <c:dLbl>
              <c:idx val="0"/>
              <c:layout>
                <c:manualLayout>
                  <c:x val="0.13581829830326328"/>
                  <c:y val="2.1784149159053485E-2"/>
                </c:manualLayout>
              </c:layout>
              <c:spPr>
                <a:solidFill>
                  <a:schemeClr val="lt1">
                    <a:alpha val="90000"/>
                  </a:schemeClr>
                </a:solidFill>
                <a:ln w="12700" cap="flat" cmpd="sng" algn="ctr">
                  <a:solidFill>
                    <a:schemeClr val="accent1"/>
                  </a:solidFill>
                  <a:round/>
                </a:ln>
                <a:effectLst>
                  <a:outerShdw blurRad="50800" dist="38100" dir="2700000" algn="tl" rotWithShape="0">
                    <a:schemeClr val="accent1">
                      <a:lumMod val="75000"/>
                      <a:alpha val="40000"/>
                    </a:schemeClr>
                  </a:outerShdw>
                </a:effectLst>
              </c:spPr>
              <c:txPr>
                <a:bodyPr rot="0" spcFirstLastPara="1" vertOverflow="clip" horzOverflow="clip" vert="horz" wrap="square" lIns="38100" tIns="19050" rIns="38100" bIns="19050" anchor="ctr" anchorCtr="1">
                  <a:spAutoFit/>
                </a:bodyPr>
                <a:lstStyle/>
                <a:p>
                  <a:pPr>
                    <a:defRPr sz="1000" b="0" i="0" u="none" strike="noStrike" kern="1200" baseline="0">
                      <a:solidFill>
                        <a:schemeClr val="accent1"/>
                      </a:solidFill>
                      <a:effectLst/>
                      <a:latin typeface="+mn-lt"/>
                      <a:ea typeface="+mn-ea"/>
                      <a:cs typeface="+mn-cs"/>
                    </a:defRPr>
                  </a:pPr>
                  <a:endParaRPr lang="es-AR"/>
                </a:p>
              </c:txPr>
              <c:dLblPos val="bestFit"/>
              <c:showLegendKey val="0"/>
              <c:showVal val="0"/>
              <c:showCatName val="1"/>
              <c:showSerName val="0"/>
              <c:showPercent val="0"/>
              <c:showBubbleSize val="0"/>
              <c:extLst xmlns:c16r2="http://schemas.microsoft.com/office/drawing/2015/06/chart">
                <c:ext xmlns:c16="http://schemas.microsoft.com/office/drawing/2014/chart" uri="{C3380CC4-5D6E-409C-BE32-E72D297353CC}">
                  <c16:uniqueId val="{00000003-11E8-40EC-823B-E7925E34C69C}"/>
                </c:ext>
                <c:ext xmlns:c15="http://schemas.microsoft.com/office/drawing/2012/chart" uri="{CE6537A1-D6FC-4f65-9D91-7224C49458BB}"/>
              </c:extLst>
            </c:dLbl>
            <c:dLbl>
              <c:idx val="1"/>
              <c:layout>
                <c:manualLayout>
                  <c:x val="8.0248468941382323E-2"/>
                  <c:y val="0.22556088321152507"/>
                </c:manualLayout>
              </c:layout>
              <c:spPr>
                <a:solidFill>
                  <a:schemeClr val="lt1">
                    <a:alpha val="90000"/>
                  </a:schemeClr>
                </a:solidFill>
                <a:ln w="12700" cap="flat" cmpd="sng" algn="ctr">
                  <a:solidFill>
                    <a:schemeClr val="accent2"/>
                  </a:solidFill>
                  <a:round/>
                </a:ln>
                <a:effectLst>
                  <a:outerShdw blurRad="50800" dist="38100" dir="2700000" algn="tl" rotWithShape="0">
                    <a:schemeClr val="accent2">
                      <a:lumMod val="75000"/>
                      <a:alpha val="40000"/>
                    </a:schemeClr>
                  </a:outerShdw>
                </a:effectLst>
              </c:spPr>
              <c:txPr>
                <a:bodyPr rot="0" spcFirstLastPara="1" vertOverflow="clip" horzOverflow="clip" vert="horz" wrap="square" lIns="38100" tIns="19050" rIns="38100" bIns="19050" anchor="ctr" anchorCtr="1">
                  <a:spAutoFit/>
                </a:bodyPr>
                <a:lstStyle/>
                <a:p>
                  <a:pPr>
                    <a:defRPr sz="1000" b="0" i="0" u="none" strike="noStrike" kern="1200" baseline="0">
                      <a:solidFill>
                        <a:schemeClr val="accent2"/>
                      </a:solidFill>
                      <a:effectLst/>
                      <a:latin typeface="+mn-lt"/>
                      <a:ea typeface="+mn-ea"/>
                      <a:cs typeface="+mn-cs"/>
                    </a:defRPr>
                  </a:pPr>
                  <a:endParaRPr lang="es-AR"/>
                </a:p>
              </c:txPr>
              <c:dLblPos val="bestFit"/>
              <c:showLegendKey val="0"/>
              <c:showVal val="0"/>
              <c:showCatName val="1"/>
              <c:showSerName val="0"/>
              <c:showPercent val="0"/>
              <c:showBubbleSize val="0"/>
              <c:extLst xmlns:c16r2="http://schemas.microsoft.com/office/drawing/2015/06/chart">
                <c:ext xmlns:c16="http://schemas.microsoft.com/office/drawing/2014/chart" uri="{C3380CC4-5D6E-409C-BE32-E72D297353CC}">
                  <c16:uniqueId val="{00000001-11E8-40EC-823B-E7925E34C69C}"/>
                </c:ext>
                <c:ext xmlns:c15="http://schemas.microsoft.com/office/drawing/2012/chart" uri="{CE6537A1-D6FC-4f65-9D91-7224C49458BB}">
                  <c15:layout>
                    <c:manualLayout>
                      <c:w val="0.18747656542932134"/>
                      <c:h val="0.22010200658583096"/>
                    </c:manualLayout>
                  </c15:layout>
                </c:ext>
              </c:extLst>
            </c:dLbl>
            <c:dLbl>
              <c:idx val="2"/>
              <c:layout>
                <c:manualLayout>
                  <c:x val="-4.0621064099271055E-2"/>
                  <c:y val="-0.14745502231104415"/>
                </c:manualLayout>
              </c:layout>
              <c:spPr>
                <a:solidFill>
                  <a:schemeClr val="lt1">
                    <a:alpha val="90000"/>
                  </a:schemeClr>
                </a:solidFill>
                <a:ln w="12700" cap="flat" cmpd="sng" algn="ctr">
                  <a:solidFill>
                    <a:schemeClr val="accent3"/>
                  </a:solidFill>
                  <a:round/>
                </a:ln>
                <a:effectLst>
                  <a:outerShdw blurRad="50800" dist="38100" dir="2700000" algn="tl" rotWithShape="0">
                    <a:schemeClr val="accent3">
                      <a:lumMod val="75000"/>
                      <a:alpha val="40000"/>
                    </a:schemeClr>
                  </a:outerShdw>
                </a:effectLst>
              </c:spPr>
              <c:txPr>
                <a:bodyPr rot="0" spcFirstLastPara="1" vertOverflow="clip" horzOverflow="clip" vert="horz" wrap="square" lIns="38100" tIns="19050" rIns="38100" bIns="19050" anchor="ctr" anchorCtr="1">
                  <a:spAutoFit/>
                </a:bodyPr>
                <a:lstStyle/>
                <a:p>
                  <a:pPr>
                    <a:defRPr sz="1000" b="0" i="0" u="none" strike="noStrike" kern="1200" baseline="0">
                      <a:solidFill>
                        <a:schemeClr val="accent3"/>
                      </a:solidFill>
                      <a:effectLst/>
                      <a:latin typeface="+mn-lt"/>
                      <a:ea typeface="+mn-ea"/>
                      <a:cs typeface="+mn-cs"/>
                    </a:defRPr>
                  </a:pPr>
                  <a:endParaRPr lang="es-AR"/>
                </a:p>
              </c:txPr>
              <c:dLblPos val="bestFit"/>
              <c:showLegendKey val="0"/>
              <c:showVal val="0"/>
              <c:showCatName val="1"/>
              <c:showSerName val="0"/>
              <c:showPercent val="0"/>
              <c:showBubbleSize val="0"/>
              <c:extLst xmlns:c16r2="http://schemas.microsoft.com/office/drawing/2015/06/chart">
                <c:ext xmlns:c16="http://schemas.microsoft.com/office/drawing/2014/chart" uri="{C3380CC4-5D6E-409C-BE32-E72D297353CC}">
                  <c16:uniqueId val="{00000002-11E8-40EC-823B-E7925E34C69C}"/>
                </c:ext>
                <c:ext xmlns:c15="http://schemas.microsoft.com/office/drawing/2012/chart" uri="{CE6537A1-D6FC-4f65-9D91-7224C49458BB}"/>
              </c:extLst>
            </c:dLbl>
            <c:spPr>
              <a:solidFill>
                <a:sysClr val="window" lastClr="FFFFFF">
                  <a:alpha val="90000"/>
                </a:sysClr>
              </a:solidFill>
              <a:ln w="12700" cap="flat" cmpd="sng" algn="ctr">
                <a:solidFill>
                  <a:srgbClr val="4472C4"/>
                </a:solidFill>
                <a:round/>
              </a:ln>
              <a:effectLst>
                <a:outerShdw blurRad="50800" dist="38100" dir="2700000" algn="tl" rotWithShape="0">
                  <a:srgbClr val="4472C4">
                    <a:lumMod val="75000"/>
                    <a:alpha val="40000"/>
                  </a:srgbClr>
                </a:outerShdw>
              </a:effectLst>
            </c:spPr>
            <c:dLblPos val="inEnd"/>
            <c:showLegendKey val="0"/>
            <c:showVal val="0"/>
            <c:showCatName val="1"/>
            <c:showSerName val="0"/>
            <c:showPercent val="0"/>
            <c:showBubbleSize val="0"/>
            <c:showLeaderLines val="1"/>
            <c:leaderLines>
              <c:spPr>
                <a:ln w="9525">
                  <a:solidFill>
                    <a:schemeClr val="tx1">
                      <a:lumMod val="35000"/>
                      <a:lumOff val="65000"/>
                    </a:schemeClr>
                  </a:solidFill>
                </a:ln>
                <a:effectLst/>
              </c:spPr>
            </c:leaderLines>
            <c:extLst xmlns:c16r2="http://schemas.microsoft.com/office/drawing/2015/06/chart">
              <c:ext xmlns:c15="http://schemas.microsoft.com/office/drawing/2012/chart" uri="{CE6537A1-D6FC-4f65-9D91-7224C49458BB}"/>
            </c:extLst>
          </c:dLbls>
          <c:cat>
            <c:multiLvlStrRef>
              <c:f>Estudio!$B$55:$C$57</c:f>
              <c:multiLvlStrCache>
                <c:ptCount val="3"/>
                <c:lvl>
                  <c:pt idx="0">
                    <c:v>Servicio de implementacion de elementos de reposicion inmediata (según listado desglozado del item1.03)</c:v>
                  </c:pt>
                  <c:pt idx="1">
                    <c:v>Adicional de activo fijo a incorporar al contrato de mantenimiento integral</c:v>
                  </c:pt>
                  <c:pt idx="2">
                    <c:v>Tareas sobre demanda - Mantenimiento Integral</c:v>
                  </c:pt>
                </c:lvl>
                <c:lvl>
                  <c:pt idx="0">
                    <c:v>2</c:v>
                  </c:pt>
                  <c:pt idx="1">
                    <c:v>3</c:v>
                  </c:pt>
                  <c:pt idx="2">
                    <c:v>4</c:v>
                  </c:pt>
                </c:lvl>
              </c:multiLvlStrCache>
            </c:multiLvlStrRef>
          </c:cat>
          <c:val>
            <c:numRef>
              <c:f>Estudio!$D$55:$D$57</c:f>
              <c:numCache>
                <c:formatCode>_-"$"* #,##0_-;\-"$"* #,##0_-;_-"$"* "-"??_-;_-@_-</c:formatCode>
                <c:ptCount val="3"/>
                <c:pt idx="0">
                  <c:v>568391.89168800006</c:v>
                </c:pt>
                <c:pt idx="1">
                  <c:v>981407.16449999996</c:v>
                </c:pt>
                <c:pt idx="2">
                  <c:v>3240122.3450999996</c:v>
                </c:pt>
              </c:numCache>
            </c:numRef>
          </c:val>
          <c:extLst xmlns:c16r2="http://schemas.microsoft.com/office/drawing/2015/06/chart">
            <c:ext xmlns:c16="http://schemas.microsoft.com/office/drawing/2014/chart" uri="{C3380CC4-5D6E-409C-BE32-E72D297353CC}">
              <c16:uniqueId val="{00000000-11E8-40EC-823B-E7925E34C69C}"/>
            </c:ext>
          </c:extLst>
        </c:ser>
        <c:dLbls>
          <c:dLblPos val="inEnd"/>
          <c:showLegendKey val="0"/>
          <c:showVal val="0"/>
          <c:showCatName val="1"/>
          <c:showSerName val="0"/>
          <c:showPercent val="0"/>
          <c:showBubbleSize val="0"/>
          <c:showLeaderLines val="1"/>
        </c:dLbls>
      </c:pie3DChart>
      <c:spPr>
        <a:noFill/>
        <a:ln>
          <a:noFill/>
        </a:ln>
        <a:effectLst/>
      </c:spPr>
    </c:plotArea>
    <c:plotVisOnly val="1"/>
    <c:dispBlanksAs val="gap"/>
    <c:showDLblsOverMax val="0"/>
    <c:extLst xmlns:c16r2="http://schemas.microsoft.com/office/drawing/2015/06/char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A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cap="all" baseline="0">
                <a:solidFill>
                  <a:schemeClr val="tx1">
                    <a:lumMod val="65000"/>
                    <a:lumOff val="35000"/>
                  </a:schemeClr>
                </a:solidFill>
                <a:latin typeface="+mn-lt"/>
                <a:ea typeface="+mn-ea"/>
                <a:cs typeface="+mn-cs"/>
              </a:defRPr>
            </a:pPr>
            <a:r>
              <a:rPr lang="es-AR" sz="1000"/>
              <a:t>composición</a:t>
            </a:r>
            <a:r>
              <a:rPr lang="es-AR" sz="1000" baseline="0"/>
              <a:t> contrato</a:t>
            </a:r>
          </a:p>
          <a:p>
            <a:pPr>
              <a:defRPr/>
            </a:pPr>
            <a:r>
              <a:rPr lang="es-AR" sz="1000" baseline="0"/>
              <a:t>ajuste alzado (rc 3 )</a:t>
            </a:r>
            <a:endParaRPr lang="es-AR" sz="1000"/>
          </a:p>
        </c:rich>
      </c:tx>
      <c:layout>
        <c:manualLayout>
          <c:xMode val="edge"/>
          <c:yMode val="edge"/>
          <c:x val="0.72526135294408955"/>
          <c:y val="6.3189178761236864E-2"/>
        </c:manualLayout>
      </c:layout>
      <c:overlay val="0"/>
      <c:spPr>
        <a:noFill/>
        <a:ln>
          <a:noFill/>
        </a:ln>
        <a:effectLst/>
      </c:spPr>
      <c:txPr>
        <a:bodyPr rot="0" spcFirstLastPara="1" vertOverflow="ellipsis" vert="horz" wrap="square" anchor="ctr" anchorCtr="1"/>
        <a:lstStyle/>
        <a:p>
          <a:pPr>
            <a:defRPr sz="1800" b="1" i="0" u="none" strike="noStrike" kern="1200" cap="all" baseline="0">
              <a:solidFill>
                <a:schemeClr val="tx1">
                  <a:lumMod val="65000"/>
                  <a:lumOff val="35000"/>
                </a:schemeClr>
              </a:solidFill>
              <a:latin typeface="+mn-lt"/>
              <a:ea typeface="+mn-ea"/>
              <a:cs typeface="+mn-cs"/>
            </a:defRPr>
          </a:pPr>
          <a:endParaRPr lang="es-AR"/>
        </a:p>
      </c:txPr>
    </c:title>
    <c:autoTitleDeleted val="0"/>
    <c:view3D>
      <c:rotX val="5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4.157415347833996E-2"/>
          <c:y val="9.5835989864793331E-2"/>
          <c:w val="0.94278501748493149"/>
          <c:h val="0.80355678513158824"/>
        </c:manualLayout>
      </c:layout>
      <c:pie3DChart>
        <c:varyColors val="1"/>
        <c:ser>
          <c:idx val="0"/>
          <c:order val="0"/>
          <c:dPt>
            <c:idx val="0"/>
            <c:bubble3D val="0"/>
            <c:explosion val="37"/>
            <c:spPr>
              <a:solidFill>
                <a:schemeClr val="accent1">
                  <a:alpha val="90000"/>
                </a:schemeClr>
              </a:solidFill>
              <a:ln w="19050">
                <a:solidFill>
                  <a:schemeClr val="accent1">
                    <a:lumMod val="75000"/>
                  </a:schemeClr>
                </a:solidFill>
              </a:ln>
              <a:effectLst>
                <a:innerShdw blurRad="114300">
                  <a:schemeClr val="accent1">
                    <a:lumMod val="75000"/>
                  </a:schemeClr>
                </a:innerShdw>
              </a:effectLst>
              <a:scene3d>
                <a:camera prst="orthographicFront"/>
                <a:lightRig rig="threePt" dir="t"/>
              </a:scene3d>
              <a:sp3d contourW="19050" prstMaterial="flat">
                <a:contourClr>
                  <a:schemeClr val="accent1">
                    <a:lumMod val="75000"/>
                  </a:schemeClr>
                </a:contourClr>
              </a:sp3d>
            </c:spPr>
            <c:extLst xmlns:c16r2="http://schemas.microsoft.com/office/drawing/2015/06/chart">
              <c:ext xmlns:c16="http://schemas.microsoft.com/office/drawing/2014/chart" uri="{C3380CC4-5D6E-409C-BE32-E72D297353CC}">
                <c16:uniqueId val="{00000001-E2A3-4D22-AB65-0DFA08263ABD}"/>
              </c:ext>
            </c:extLst>
          </c:dPt>
          <c:dPt>
            <c:idx val="1"/>
            <c:bubble3D val="0"/>
            <c:spPr>
              <a:solidFill>
                <a:schemeClr val="accent2">
                  <a:alpha val="90000"/>
                </a:schemeClr>
              </a:solidFill>
              <a:ln w="19050">
                <a:solidFill>
                  <a:schemeClr val="accent2">
                    <a:lumMod val="75000"/>
                  </a:schemeClr>
                </a:solidFill>
              </a:ln>
              <a:effectLst>
                <a:innerShdw blurRad="114300">
                  <a:schemeClr val="accent2">
                    <a:lumMod val="75000"/>
                  </a:schemeClr>
                </a:innerShdw>
              </a:effectLst>
              <a:scene3d>
                <a:camera prst="orthographicFront"/>
                <a:lightRig rig="threePt" dir="t"/>
              </a:scene3d>
              <a:sp3d contourW="19050" prstMaterial="flat">
                <a:contourClr>
                  <a:schemeClr val="accent2">
                    <a:lumMod val="75000"/>
                  </a:schemeClr>
                </a:contourClr>
              </a:sp3d>
            </c:spPr>
            <c:extLst xmlns:c16r2="http://schemas.microsoft.com/office/drawing/2015/06/chart">
              <c:ext xmlns:c16="http://schemas.microsoft.com/office/drawing/2014/chart" uri="{C3380CC4-5D6E-409C-BE32-E72D297353CC}">
                <c16:uniqueId val="{00000003-E2A3-4D22-AB65-0DFA08263ABD}"/>
              </c:ext>
            </c:extLst>
          </c:dPt>
          <c:dPt>
            <c:idx val="2"/>
            <c:bubble3D val="0"/>
            <c:spPr>
              <a:solidFill>
                <a:schemeClr val="accent3">
                  <a:alpha val="90000"/>
                </a:schemeClr>
              </a:solidFill>
              <a:ln w="19050">
                <a:solidFill>
                  <a:schemeClr val="accent3">
                    <a:lumMod val="75000"/>
                  </a:schemeClr>
                </a:solidFill>
              </a:ln>
              <a:effectLst>
                <a:innerShdw blurRad="114300">
                  <a:schemeClr val="accent3">
                    <a:lumMod val="75000"/>
                  </a:schemeClr>
                </a:innerShdw>
              </a:effectLst>
              <a:scene3d>
                <a:camera prst="orthographicFront"/>
                <a:lightRig rig="threePt" dir="t"/>
              </a:scene3d>
              <a:sp3d contourW="19050" prstMaterial="flat">
                <a:contourClr>
                  <a:schemeClr val="accent3">
                    <a:lumMod val="75000"/>
                  </a:schemeClr>
                </a:contourClr>
              </a:sp3d>
            </c:spPr>
            <c:extLst xmlns:c16r2="http://schemas.microsoft.com/office/drawing/2015/06/chart">
              <c:ext xmlns:c16="http://schemas.microsoft.com/office/drawing/2014/chart" uri="{C3380CC4-5D6E-409C-BE32-E72D297353CC}">
                <c16:uniqueId val="{00000005-E2A3-4D22-AB65-0DFA08263ABD}"/>
              </c:ext>
            </c:extLst>
          </c:dPt>
          <c:dPt>
            <c:idx val="3"/>
            <c:bubble3D val="0"/>
            <c:spPr>
              <a:solidFill>
                <a:schemeClr val="accent4">
                  <a:alpha val="90000"/>
                </a:schemeClr>
              </a:solidFill>
              <a:ln w="19050">
                <a:solidFill>
                  <a:schemeClr val="accent4">
                    <a:lumMod val="75000"/>
                  </a:schemeClr>
                </a:solidFill>
              </a:ln>
              <a:effectLst>
                <a:innerShdw blurRad="114300">
                  <a:schemeClr val="accent4">
                    <a:lumMod val="75000"/>
                  </a:schemeClr>
                </a:innerShdw>
              </a:effectLst>
              <a:scene3d>
                <a:camera prst="orthographicFront"/>
                <a:lightRig rig="threePt" dir="t"/>
              </a:scene3d>
              <a:sp3d contourW="19050" prstMaterial="flat">
                <a:contourClr>
                  <a:schemeClr val="accent4">
                    <a:lumMod val="75000"/>
                  </a:schemeClr>
                </a:contourClr>
              </a:sp3d>
            </c:spPr>
            <c:extLst xmlns:c16r2="http://schemas.microsoft.com/office/drawing/2015/06/chart">
              <c:ext xmlns:c16="http://schemas.microsoft.com/office/drawing/2014/chart" uri="{C3380CC4-5D6E-409C-BE32-E72D297353CC}">
                <c16:uniqueId val="{00000007-E2A3-4D22-AB65-0DFA08263ABD}"/>
              </c:ext>
            </c:extLst>
          </c:dPt>
          <c:dPt>
            <c:idx val="4"/>
            <c:bubble3D val="0"/>
            <c:spPr>
              <a:solidFill>
                <a:schemeClr val="accent5">
                  <a:alpha val="90000"/>
                </a:schemeClr>
              </a:solidFill>
              <a:ln w="19050">
                <a:solidFill>
                  <a:schemeClr val="accent5">
                    <a:lumMod val="75000"/>
                  </a:schemeClr>
                </a:solidFill>
              </a:ln>
              <a:effectLst>
                <a:innerShdw blurRad="114300">
                  <a:schemeClr val="accent5">
                    <a:lumMod val="75000"/>
                  </a:schemeClr>
                </a:innerShdw>
              </a:effectLst>
              <a:scene3d>
                <a:camera prst="orthographicFront"/>
                <a:lightRig rig="threePt" dir="t"/>
              </a:scene3d>
              <a:sp3d contourW="19050" prstMaterial="flat">
                <a:contourClr>
                  <a:schemeClr val="accent5">
                    <a:lumMod val="75000"/>
                  </a:schemeClr>
                </a:contourClr>
              </a:sp3d>
            </c:spPr>
            <c:extLst xmlns:c16r2="http://schemas.microsoft.com/office/drawing/2015/06/chart">
              <c:ext xmlns:c16="http://schemas.microsoft.com/office/drawing/2014/chart" uri="{C3380CC4-5D6E-409C-BE32-E72D297353CC}">
                <c16:uniqueId val="{00000009-E2A3-4D22-AB65-0DFA08263ABD}"/>
              </c:ext>
            </c:extLst>
          </c:dPt>
          <c:dPt>
            <c:idx val="5"/>
            <c:bubble3D val="0"/>
            <c:spPr>
              <a:solidFill>
                <a:schemeClr val="accent6">
                  <a:alpha val="90000"/>
                </a:schemeClr>
              </a:solidFill>
              <a:ln w="19050">
                <a:solidFill>
                  <a:schemeClr val="accent6">
                    <a:lumMod val="75000"/>
                  </a:schemeClr>
                </a:solidFill>
              </a:ln>
              <a:effectLst>
                <a:innerShdw blurRad="114300">
                  <a:schemeClr val="accent6">
                    <a:lumMod val="75000"/>
                  </a:schemeClr>
                </a:innerShdw>
              </a:effectLst>
              <a:scene3d>
                <a:camera prst="orthographicFront"/>
                <a:lightRig rig="threePt" dir="t"/>
              </a:scene3d>
              <a:sp3d contourW="19050" prstMaterial="flat">
                <a:contourClr>
                  <a:schemeClr val="accent6">
                    <a:lumMod val="75000"/>
                  </a:schemeClr>
                </a:contourClr>
              </a:sp3d>
            </c:spPr>
            <c:extLst xmlns:c16r2="http://schemas.microsoft.com/office/drawing/2015/06/chart">
              <c:ext xmlns:c16="http://schemas.microsoft.com/office/drawing/2014/chart" uri="{C3380CC4-5D6E-409C-BE32-E72D297353CC}">
                <c16:uniqueId val="{0000000B-E2A3-4D22-AB65-0DFA08263ABD}"/>
              </c:ext>
            </c:extLst>
          </c:dPt>
          <c:dLbls>
            <c:dLbl>
              <c:idx val="0"/>
              <c:layout>
                <c:manualLayout>
                  <c:x val="6.5405251309878398E-2"/>
                  <c:y val="-0.22243373179344694"/>
                </c:manualLayout>
              </c:layout>
              <c:spPr>
                <a:solidFill>
                  <a:sysClr val="window" lastClr="FFFFFF">
                    <a:alpha val="90000"/>
                  </a:sysClr>
                </a:solidFill>
                <a:ln w="12700" cap="flat" cmpd="sng" algn="ctr">
                  <a:solidFill>
                    <a:srgbClr val="4472C4"/>
                  </a:solidFill>
                  <a:round/>
                </a:ln>
                <a:effectLst>
                  <a:outerShdw blurRad="50800" dist="38100" dir="2700000" algn="tl" rotWithShape="0">
                    <a:srgbClr val="4472C4">
                      <a:lumMod val="75000"/>
                      <a:alpha val="40000"/>
                    </a:srgbClr>
                  </a:outerShdw>
                </a:effectLst>
              </c:spPr>
              <c:txPr>
                <a:bodyPr rot="0" spcFirstLastPara="1" vertOverflow="clip" horzOverflow="clip" vert="horz" wrap="square" lIns="38100" tIns="19050" rIns="38100" bIns="19050" anchor="ctr" anchorCtr="1">
                  <a:spAutoFit/>
                </a:bodyPr>
                <a:lstStyle/>
                <a:p>
                  <a:pPr>
                    <a:defRPr sz="1000" b="0" i="0" u="none" strike="noStrike" kern="1200" baseline="0">
                      <a:solidFill>
                        <a:schemeClr val="accent1"/>
                      </a:solidFill>
                      <a:effectLst/>
                      <a:latin typeface="+mn-lt"/>
                      <a:ea typeface="+mn-ea"/>
                      <a:cs typeface="+mn-cs"/>
                    </a:defRPr>
                  </a:pPr>
                  <a:endParaRPr lang="es-AR"/>
                </a:p>
              </c:txPr>
              <c:dLblPos val="bestFit"/>
              <c:showLegendKey val="0"/>
              <c:showVal val="0"/>
              <c:showCatName val="1"/>
              <c:showSerName val="0"/>
              <c:showPercent val="0"/>
              <c:showBubbleSize val="0"/>
              <c:extLst xmlns:c16r2="http://schemas.microsoft.com/office/drawing/2015/06/chart">
                <c:ext xmlns:c16="http://schemas.microsoft.com/office/drawing/2014/chart" uri="{C3380CC4-5D6E-409C-BE32-E72D297353CC}">
                  <c16:uniqueId val="{00000001-E2A3-4D22-AB65-0DFA08263ABD}"/>
                </c:ext>
                <c:ext xmlns:c15="http://schemas.microsoft.com/office/drawing/2012/chart" uri="{CE6537A1-D6FC-4f65-9D91-7224C49458BB}"/>
              </c:extLst>
            </c:dLbl>
            <c:dLbl>
              <c:idx val="1"/>
              <c:layout>
                <c:manualLayout>
                  <c:x val="-6.5032882125689348E-2"/>
                  <c:y val="0.17381126588919499"/>
                </c:manualLayout>
              </c:layout>
              <c:spPr>
                <a:solidFill>
                  <a:sysClr val="window" lastClr="FFFFFF">
                    <a:alpha val="90000"/>
                  </a:sysClr>
                </a:solidFill>
                <a:ln w="12700" cap="flat" cmpd="sng" algn="ctr">
                  <a:solidFill>
                    <a:srgbClr val="4472C4"/>
                  </a:solidFill>
                  <a:round/>
                </a:ln>
                <a:effectLst>
                  <a:outerShdw blurRad="50800" dist="38100" dir="2700000" algn="tl" rotWithShape="0">
                    <a:srgbClr val="4472C4">
                      <a:lumMod val="75000"/>
                      <a:alpha val="40000"/>
                    </a:srgbClr>
                  </a:outerShdw>
                </a:effectLst>
              </c:spPr>
              <c:txPr>
                <a:bodyPr rot="0" spcFirstLastPara="1" vertOverflow="clip" horzOverflow="clip" vert="horz" wrap="square" lIns="38100" tIns="19050" rIns="38100" bIns="19050" anchor="ctr" anchorCtr="1">
                  <a:spAutoFit/>
                </a:bodyPr>
                <a:lstStyle/>
                <a:p>
                  <a:pPr>
                    <a:defRPr sz="1000" b="0" i="0" u="none" strike="noStrike" kern="1200" baseline="0">
                      <a:solidFill>
                        <a:schemeClr val="accent2"/>
                      </a:solidFill>
                      <a:effectLst/>
                      <a:latin typeface="+mn-lt"/>
                      <a:ea typeface="+mn-ea"/>
                      <a:cs typeface="+mn-cs"/>
                    </a:defRPr>
                  </a:pPr>
                  <a:endParaRPr lang="es-AR"/>
                </a:p>
              </c:txPr>
              <c:dLblPos val="bestFit"/>
              <c:showLegendKey val="0"/>
              <c:showVal val="0"/>
              <c:showCatName val="1"/>
              <c:showSerName val="0"/>
              <c:showPercent val="0"/>
              <c:showBubbleSize val="0"/>
              <c:extLst xmlns:c16r2="http://schemas.microsoft.com/office/drawing/2015/06/chart">
                <c:ext xmlns:c16="http://schemas.microsoft.com/office/drawing/2014/chart" uri="{C3380CC4-5D6E-409C-BE32-E72D297353CC}">
                  <c16:uniqueId val="{00000003-E2A3-4D22-AB65-0DFA08263ABD}"/>
                </c:ext>
                <c:ext xmlns:c15="http://schemas.microsoft.com/office/drawing/2012/chart" uri="{CE6537A1-D6FC-4f65-9D91-7224C49458BB}"/>
              </c:extLst>
            </c:dLbl>
            <c:dLbl>
              <c:idx val="2"/>
              <c:layout>
                <c:manualLayout>
                  <c:x val="-0.10184775592189553"/>
                  <c:y val="0.19980096599718153"/>
                </c:manualLayout>
              </c:layout>
              <c:spPr>
                <a:solidFill>
                  <a:sysClr val="window" lastClr="FFFFFF">
                    <a:alpha val="90000"/>
                  </a:sysClr>
                </a:solidFill>
                <a:ln w="12700" cap="flat" cmpd="sng" algn="ctr">
                  <a:solidFill>
                    <a:srgbClr val="4472C4"/>
                  </a:solidFill>
                  <a:round/>
                </a:ln>
                <a:effectLst>
                  <a:outerShdw blurRad="50800" dist="38100" dir="2700000" algn="tl" rotWithShape="0">
                    <a:srgbClr val="4472C4">
                      <a:lumMod val="75000"/>
                      <a:alpha val="40000"/>
                    </a:srgbClr>
                  </a:outerShdw>
                </a:effectLst>
              </c:spPr>
              <c:txPr>
                <a:bodyPr rot="0" spcFirstLastPara="1" vertOverflow="clip" horzOverflow="clip" vert="horz" wrap="square" lIns="38100" tIns="19050" rIns="38100" bIns="19050" anchor="ctr" anchorCtr="1">
                  <a:spAutoFit/>
                </a:bodyPr>
                <a:lstStyle/>
                <a:p>
                  <a:pPr>
                    <a:defRPr sz="1000" b="0" i="0" u="none" strike="noStrike" kern="1200" baseline="0">
                      <a:solidFill>
                        <a:schemeClr val="accent3"/>
                      </a:solidFill>
                      <a:effectLst/>
                      <a:latin typeface="+mn-lt"/>
                      <a:ea typeface="+mn-ea"/>
                      <a:cs typeface="+mn-cs"/>
                    </a:defRPr>
                  </a:pPr>
                  <a:endParaRPr lang="es-AR"/>
                </a:p>
              </c:txPr>
              <c:dLblPos val="bestFit"/>
              <c:showLegendKey val="0"/>
              <c:showVal val="0"/>
              <c:showCatName val="1"/>
              <c:showSerName val="0"/>
              <c:showPercent val="0"/>
              <c:showBubbleSize val="0"/>
              <c:extLst xmlns:c16r2="http://schemas.microsoft.com/office/drawing/2015/06/chart">
                <c:ext xmlns:c16="http://schemas.microsoft.com/office/drawing/2014/chart" uri="{C3380CC4-5D6E-409C-BE32-E72D297353CC}">
                  <c16:uniqueId val="{00000005-E2A3-4D22-AB65-0DFA08263ABD}"/>
                </c:ext>
                <c:ext xmlns:c15="http://schemas.microsoft.com/office/drawing/2012/chart" uri="{CE6537A1-D6FC-4f65-9D91-7224C49458BB}"/>
              </c:extLst>
            </c:dLbl>
            <c:dLbl>
              <c:idx val="3"/>
              <c:layout>
                <c:manualLayout>
                  <c:x val="-0.15209767318411041"/>
                  <c:y val="0.1716430068720842"/>
                </c:manualLayout>
              </c:layout>
              <c:spPr>
                <a:solidFill>
                  <a:sysClr val="window" lastClr="FFFFFF">
                    <a:alpha val="90000"/>
                  </a:sysClr>
                </a:solidFill>
                <a:ln w="12700" cap="flat" cmpd="sng" algn="ctr">
                  <a:solidFill>
                    <a:srgbClr val="4472C4"/>
                  </a:solidFill>
                  <a:round/>
                </a:ln>
                <a:effectLst>
                  <a:outerShdw blurRad="50800" dist="38100" dir="2700000" algn="tl" rotWithShape="0">
                    <a:srgbClr val="4472C4">
                      <a:lumMod val="75000"/>
                      <a:alpha val="40000"/>
                    </a:srgbClr>
                  </a:outerShdw>
                </a:effectLst>
              </c:spPr>
              <c:txPr>
                <a:bodyPr rot="0" spcFirstLastPara="1" vertOverflow="clip" horzOverflow="clip" vert="horz" wrap="square" lIns="38100" tIns="19050" rIns="38100" bIns="19050" anchor="ctr" anchorCtr="1">
                  <a:spAutoFit/>
                </a:bodyPr>
                <a:lstStyle/>
                <a:p>
                  <a:pPr>
                    <a:defRPr sz="1000" b="0" i="0" u="none" strike="noStrike" kern="1200" baseline="0">
                      <a:solidFill>
                        <a:schemeClr val="accent4"/>
                      </a:solidFill>
                      <a:effectLst/>
                      <a:latin typeface="+mn-lt"/>
                      <a:ea typeface="+mn-ea"/>
                      <a:cs typeface="+mn-cs"/>
                    </a:defRPr>
                  </a:pPr>
                  <a:endParaRPr lang="es-AR"/>
                </a:p>
              </c:txPr>
              <c:dLblPos val="bestFit"/>
              <c:showLegendKey val="0"/>
              <c:showVal val="0"/>
              <c:showCatName val="1"/>
              <c:showSerName val="0"/>
              <c:showPercent val="0"/>
              <c:showBubbleSize val="0"/>
              <c:extLst xmlns:c16r2="http://schemas.microsoft.com/office/drawing/2015/06/chart">
                <c:ext xmlns:c16="http://schemas.microsoft.com/office/drawing/2014/chart" uri="{C3380CC4-5D6E-409C-BE32-E72D297353CC}">
                  <c16:uniqueId val="{00000007-E2A3-4D22-AB65-0DFA08263ABD}"/>
                </c:ext>
                <c:ext xmlns:c15="http://schemas.microsoft.com/office/drawing/2012/chart" uri="{CE6537A1-D6FC-4f65-9D91-7224C49458BB}"/>
              </c:extLst>
            </c:dLbl>
            <c:dLbl>
              <c:idx val="4"/>
              <c:layout>
                <c:manualLayout>
                  <c:x val="-0.18363462994092031"/>
                  <c:y val="6.8704079255998626E-2"/>
                </c:manualLayout>
              </c:layout>
              <c:spPr>
                <a:solidFill>
                  <a:sysClr val="window" lastClr="FFFFFF">
                    <a:alpha val="90000"/>
                  </a:sysClr>
                </a:solidFill>
                <a:ln w="12700" cap="flat" cmpd="sng" algn="ctr">
                  <a:solidFill>
                    <a:srgbClr val="4472C4"/>
                  </a:solidFill>
                  <a:round/>
                </a:ln>
                <a:effectLst>
                  <a:outerShdw blurRad="50800" dist="38100" dir="2700000" algn="tl" rotWithShape="0">
                    <a:srgbClr val="4472C4">
                      <a:lumMod val="75000"/>
                      <a:alpha val="40000"/>
                    </a:srgbClr>
                  </a:outerShdw>
                </a:effectLst>
              </c:spPr>
              <c:txPr>
                <a:bodyPr rot="0" spcFirstLastPara="1" vertOverflow="clip" horzOverflow="clip" vert="horz" wrap="square" lIns="38100" tIns="19050" rIns="38100" bIns="19050" anchor="ctr" anchorCtr="1">
                  <a:spAutoFit/>
                </a:bodyPr>
                <a:lstStyle/>
                <a:p>
                  <a:pPr>
                    <a:defRPr sz="1000" b="0" i="0" u="none" strike="noStrike" kern="1200" baseline="0">
                      <a:solidFill>
                        <a:schemeClr val="accent5"/>
                      </a:solidFill>
                      <a:effectLst/>
                      <a:latin typeface="+mn-lt"/>
                      <a:ea typeface="+mn-ea"/>
                      <a:cs typeface="+mn-cs"/>
                    </a:defRPr>
                  </a:pPr>
                  <a:endParaRPr lang="es-AR"/>
                </a:p>
              </c:txPr>
              <c:dLblPos val="bestFit"/>
              <c:showLegendKey val="0"/>
              <c:showVal val="0"/>
              <c:showCatName val="1"/>
              <c:showSerName val="0"/>
              <c:showPercent val="0"/>
              <c:showBubbleSize val="0"/>
              <c:extLst xmlns:c16r2="http://schemas.microsoft.com/office/drawing/2015/06/chart">
                <c:ext xmlns:c16="http://schemas.microsoft.com/office/drawing/2014/chart" uri="{C3380CC4-5D6E-409C-BE32-E72D297353CC}">
                  <c16:uniqueId val="{00000009-E2A3-4D22-AB65-0DFA08263ABD}"/>
                </c:ext>
                <c:ext xmlns:c15="http://schemas.microsoft.com/office/drawing/2012/chart" uri="{CE6537A1-D6FC-4f65-9D91-7224C49458BB}"/>
              </c:extLst>
            </c:dLbl>
            <c:dLbl>
              <c:idx val="5"/>
              <c:layout>
                <c:manualLayout>
                  <c:x val="-0.26754011553799223"/>
                  <c:y val="-4.4111557852785435E-2"/>
                </c:manualLayout>
              </c:layout>
              <c:spPr>
                <a:solidFill>
                  <a:sysClr val="window" lastClr="FFFFFF">
                    <a:alpha val="90000"/>
                  </a:sysClr>
                </a:solidFill>
                <a:ln w="12700" cap="flat" cmpd="sng" algn="ctr">
                  <a:solidFill>
                    <a:srgbClr val="4472C4"/>
                  </a:solidFill>
                  <a:round/>
                </a:ln>
                <a:effectLst>
                  <a:outerShdw blurRad="50800" dist="38100" dir="2700000" algn="tl" rotWithShape="0">
                    <a:srgbClr val="4472C4">
                      <a:lumMod val="75000"/>
                      <a:alpha val="40000"/>
                    </a:srgbClr>
                  </a:outerShdw>
                </a:effectLst>
              </c:spPr>
              <c:txPr>
                <a:bodyPr rot="0" spcFirstLastPara="1" vertOverflow="clip" horzOverflow="clip" vert="horz" wrap="square" lIns="38100" tIns="19050" rIns="38100" bIns="19050" anchor="ctr" anchorCtr="1">
                  <a:spAutoFit/>
                </a:bodyPr>
                <a:lstStyle/>
                <a:p>
                  <a:pPr>
                    <a:defRPr sz="1000" b="0" i="0" u="none" strike="noStrike" kern="1200" baseline="0">
                      <a:solidFill>
                        <a:schemeClr val="accent6"/>
                      </a:solidFill>
                      <a:effectLst/>
                      <a:latin typeface="+mn-lt"/>
                      <a:ea typeface="+mn-ea"/>
                      <a:cs typeface="+mn-cs"/>
                    </a:defRPr>
                  </a:pPr>
                  <a:endParaRPr lang="es-AR"/>
                </a:p>
              </c:txPr>
              <c:dLblPos val="bestFit"/>
              <c:showLegendKey val="0"/>
              <c:showVal val="0"/>
              <c:showCatName val="1"/>
              <c:showSerName val="0"/>
              <c:showPercent val="0"/>
              <c:showBubbleSize val="0"/>
              <c:extLst xmlns:c16r2="http://schemas.microsoft.com/office/drawing/2015/06/chart">
                <c:ext xmlns:c16="http://schemas.microsoft.com/office/drawing/2014/chart" uri="{C3380CC4-5D6E-409C-BE32-E72D297353CC}">
                  <c16:uniqueId val="{0000000B-E2A3-4D22-AB65-0DFA08263ABD}"/>
                </c:ext>
                <c:ext xmlns:c15="http://schemas.microsoft.com/office/drawing/2012/chart" uri="{CE6537A1-D6FC-4f65-9D91-7224C49458BB}"/>
              </c:extLst>
            </c:dLbl>
            <c:spPr>
              <a:solidFill>
                <a:sysClr val="window" lastClr="FFFFFF">
                  <a:alpha val="90000"/>
                </a:sysClr>
              </a:solidFill>
              <a:ln w="12700" cap="flat" cmpd="sng" algn="ctr">
                <a:solidFill>
                  <a:srgbClr val="4472C4"/>
                </a:solidFill>
                <a:round/>
              </a:ln>
              <a:effectLst>
                <a:outerShdw blurRad="50800" dist="38100" dir="2700000" algn="tl" rotWithShape="0">
                  <a:srgbClr val="4472C4">
                    <a:lumMod val="75000"/>
                    <a:alpha val="40000"/>
                  </a:srgbClr>
                </a:outerShdw>
              </a:effectLst>
            </c:spPr>
            <c:dLblPos val="inEnd"/>
            <c:showLegendKey val="0"/>
            <c:showVal val="0"/>
            <c:showCatName val="1"/>
            <c:showSerName val="0"/>
            <c:showPercent val="0"/>
            <c:showBubbleSize val="0"/>
            <c:showLeaderLines val="1"/>
            <c:leaderLines>
              <c:spPr>
                <a:ln w="9525">
                  <a:solidFill>
                    <a:schemeClr val="tx1">
                      <a:lumMod val="35000"/>
                      <a:lumOff val="65000"/>
                    </a:schemeClr>
                  </a:solidFill>
                </a:ln>
                <a:effectLst/>
              </c:spPr>
            </c:leaderLines>
            <c:extLst xmlns:c16r2="http://schemas.microsoft.com/office/drawing/2015/06/chart">
              <c:ext xmlns:c15="http://schemas.microsoft.com/office/drawing/2012/chart" uri="{CE6537A1-D6FC-4f65-9D91-7224C49458BB}"/>
            </c:extLst>
          </c:dLbls>
          <c:cat>
            <c:multiLvlStrRef>
              <c:f>Estudio!$B$88:$C$93</c:f>
              <c:multiLvlStrCache>
                <c:ptCount val="6"/>
                <c:lvl>
                  <c:pt idx="0">
                    <c:v>RRHH Directo e indirecto</c:v>
                  </c:pt>
                  <c:pt idx="1">
                    <c:v>Sub contratos</c:v>
                  </c:pt>
                  <c:pt idx="2">
                    <c:v>Insumos y consumibles</c:v>
                  </c:pt>
                  <c:pt idx="3">
                    <c:v>Material mantenimiento</c:v>
                  </c:pt>
                  <c:pt idx="4">
                    <c:v>Equipamiento y consumibles limpieza</c:v>
                  </c:pt>
                  <c:pt idx="5">
                    <c:v>Oferta por servicio de reposicion inmediata.</c:v>
                  </c:pt>
                </c:lvl>
                <c:lvl>
                  <c:pt idx="0">
                    <c:v>1,01 y 1,02</c:v>
                  </c:pt>
                  <c:pt idx="5">
                    <c:v>1.03</c:v>
                  </c:pt>
                </c:lvl>
              </c:multiLvlStrCache>
            </c:multiLvlStrRef>
          </c:cat>
          <c:val>
            <c:numRef>
              <c:f>Estudio!$F$88:$F$93</c:f>
              <c:numCache>
                <c:formatCode>_-"$"* #,##0_-;\-"$"* #,##0_-;_-"$"* "-"??_-;_-@_-</c:formatCode>
                <c:ptCount val="6"/>
                <c:pt idx="0">
                  <c:v>23513857.718120806</c:v>
                </c:pt>
                <c:pt idx="1">
                  <c:v>1368813.0569691565</c:v>
                </c:pt>
                <c:pt idx="2">
                  <c:v>3060615.8671108233</c:v>
                </c:pt>
                <c:pt idx="3">
                  <c:v>970090.92385098839</c:v>
                </c:pt>
                <c:pt idx="4">
                  <c:v>1127276.100091463</c:v>
                </c:pt>
                <c:pt idx="5">
                  <c:v>2016787.9896117575</c:v>
                </c:pt>
              </c:numCache>
            </c:numRef>
          </c:val>
          <c:extLst xmlns:c16r2="http://schemas.microsoft.com/office/drawing/2015/06/chart">
            <c:ext xmlns:c16="http://schemas.microsoft.com/office/drawing/2014/chart" uri="{C3380CC4-5D6E-409C-BE32-E72D297353CC}">
              <c16:uniqueId val="{0000000E-E2A3-4D22-AB65-0DFA08263ABD}"/>
            </c:ext>
          </c:extLst>
        </c:ser>
        <c:dLbls>
          <c:dLblPos val="inEnd"/>
          <c:showLegendKey val="0"/>
          <c:showVal val="0"/>
          <c:showCatName val="1"/>
          <c:showSerName val="0"/>
          <c:showPercent val="0"/>
          <c:showBubbleSize val="0"/>
          <c:showLeaderLines val="1"/>
        </c:dLbls>
      </c:pie3DChart>
      <c:spPr>
        <a:noFill/>
        <a:ln>
          <a:noFill/>
        </a:ln>
        <a:effectLst/>
      </c:spPr>
    </c:plotArea>
    <c:plotVisOnly val="1"/>
    <c:dispBlanksAs val="gap"/>
    <c:showDLblsOverMax val="0"/>
    <c:extLst xmlns:c16r2="http://schemas.microsoft.com/office/drawing/2015/06/char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A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cap="all" baseline="0">
                <a:solidFill>
                  <a:schemeClr val="tx1">
                    <a:lumMod val="65000"/>
                    <a:lumOff val="35000"/>
                  </a:schemeClr>
                </a:solidFill>
                <a:latin typeface="+mn-lt"/>
                <a:ea typeface="+mn-ea"/>
                <a:cs typeface="+mn-cs"/>
              </a:defRPr>
            </a:pPr>
            <a:r>
              <a:rPr lang="es-AR" sz="1200" baseline="0"/>
              <a:t>Composición </a:t>
            </a:r>
          </a:p>
          <a:p>
            <a:pPr>
              <a:defRPr/>
            </a:pPr>
            <a:r>
              <a:rPr lang="es-AR" sz="1200" baseline="0"/>
              <a:t>OC Abierta (RC 4)</a:t>
            </a:r>
          </a:p>
        </c:rich>
      </c:tx>
      <c:layout>
        <c:manualLayout>
          <c:xMode val="edge"/>
          <c:yMode val="edge"/>
          <c:x val="6.8457431414229108E-2"/>
          <c:y val="7.40740212604626E-2"/>
        </c:manualLayout>
      </c:layout>
      <c:overlay val="0"/>
      <c:spPr>
        <a:noFill/>
        <a:ln>
          <a:noFill/>
        </a:ln>
        <a:effectLst/>
      </c:spPr>
      <c:txPr>
        <a:bodyPr rot="0" spcFirstLastPara="1" vertOverflow="ellipsis" vert="horz" wrap="square" anchor="ctr" anchorCtr="1"/>
        <a:lstStyle/>
        <a:p>
          <a:pPr>
            <a:defRPr sz="1800" b="1" i="0" u="none" strike="noStrike" kern="1200" cap="all" baseline="0">
              <a:solidFill>
                <a:schemeClr val="tx1">
                  <a:lumMod val="65000"/>
                  <a:lumOff val="35000"/>
                </a:schemeClr>
              </a:solidFill>
              <a:latin typeface="+mn-lt"/>
              <a:ea typeface="+mn-ea"/>
              <a:cs typeface="+mn-cs"/>
            </a:defRPr>
          </a:pPr>
          <a:endParaRPr lang="es-AR"/>
        </a:p>
      </c:txPr>
    </c:title>
    <c:autoTitleDeleted val="0"/>
    <c:view3D>
      <c:rotX val="5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0"/>
          <c:order val="0"/>
          <c:dPt>
            <c:idx val="0"/>
            <c:bubble3D val="0"/>
            <c:spPr>
              <a:solidFill>
                <a:schemeClr val="accent1">
                  <a:alpha val="90000"/>
                </a:schemeClr>
              </a:solidFill>
              <a:ln w="19050">
                <a:solidFill>
                  <a:schemeClr val="accent1">
                    <a:lumMod val="75000"/>
                  </a:schemeClr>
                </a:solidFill>
              </a:ln>
              <a:effectLst>
                <a:innerShdw blurRad="114300">
                  <a:schemeClr val="accent1">
                    <a:lumMod val="75000"/>
                  </a:schemeClr>
                </a:innerShdw>
              </a:effectLst>
              <a:scene3d>
                <a:camera prst="orthographicFront"/>
                <a:lightRig rig="threePt" dir="t"/>
              </a:scene3d>
              <a:sp3d contourW="19050" prstMaterial="flat">
                <a:contourClr>
                  <a:schemeClr val="accent1">
                    <a:lumMod val="75000"/>
                  </a:schemeClr>
                </a:contourClr>
              </a:sp3d>
            </c:spPr>
            <c:extLst xmlns:c16r2="http://schemas.microsoft.com/office/drawing/2015/06/chart">
              <c:ext xmlns:c16="http://schemas.microsoft.com/office/drawing/2014/chart" uri="{C3380CC4-5D6E-409C-BE32-E72D297353CC}">
                <c16:uniqueId val="{00000001-E7CA-4E6D-BB82-A6EEF4F45D61}"/>
              </c:ext>
            </c:extLst>
          </c:dPt>
          <c:dPt>
            <c:idx val="1"/>
            <c:bubble3D val="0"/>
            <c:spPr>
              <a:solidFill>
                <a:schemeClr val="accent2">
                  <a:alpha val="90000"/>
                </a:schemeClr>
              </a:solidFill>
              <a:ln w="19050">
                <a:solidFill>
                  <a:schemeClr val="accent2">
                    <a:lumMod val="75000"/>
                  </a:schemeClr>
                </a:solidFill>
              </a:ln>
              <a:effectLst>
                <a:innerShdw blurRad="114300">
                  <a:schemeClr val="accent2">
                    <a:lumMod val="75000"/>
                  </a:schemeClr>
                </a:innerShdw>
              </a:effectLst>
              <a:scene3d>
                <a:camera prst="orthographicFront"/>
                <a:lightRig rig="threePt" dir="t"/>
              </a:scene3d>
              <a:sp3d contourW="19050" prstMaterial="flat">
                <a:contourClr>
                  <a:schemeClr val="accent2">
                    <a:lumMod val="75000"/>
                  </a:schemeClr>
                </a:contourClr>
              </a:sp3d>
            </c:spPr>
            <c:extLst xmlns:c16r2="http://schemas.microsoft.com/office/drawing/2015/06/chart">
              <c:ext xmlns:c16="http://schemas.microsoft.com/office/drawing/2014/chart" uri="{C3380CC4-5D6E-409C-BE32-E72D297353CC}">
                <c16:uniqueId val="{00000003-E7CA-4E6D-BB82-A6EEF4F45D61}"/>
              </c:ext>
            </c:extLst>
          </c:dPt>
          <c:dPt>
            <c:idx val="2"/>
            <c:bubble3D val="0"/>
            <c:explosion val="14"/>
            <c:spPr>
              <a:solidFill>
                <a:schemeClr val="accent3">
                  <a:alpha val="90000"/>
                </a:schemeClr>
              </a:solidFill>
              <a:ln w="19050">
                <a:solidFill>
                  <a:schemeClr val="accent3">
                    <a:lumMod val="75000"/>
                  </a:schemeClr>
                </a:solidFill>
              </a:ln>
              <a:effectLst>
                <a:innerShdw blurRad="114300">
                  <a:schemeClr val="accent3">
                    <a:lumMod val="75000"/>
                  </a:schemeClr>
                </a:innerShdw>
              </a:effectLst>
              <a:scene3d>
                <a:camera prst="orthographicFront"/>
                <a:lightRig rig="threePt" dir="t"/>
              </a:scene3d>
              <a:sp3d contourW="19050" prstMaterial="flat">
                <a:contourClr>
                  <a:schemeClr val="accent3">
                    <a:lumMod val="75000"/>
                  </a:schemeClr>
                </a:contourClr>
              </a:sp3d>
            </c:spPr>
            <c:extLst xmlns:c16r2="http://schemas.microsoft.com/office/drawing/2015/06/chart">
              <c:ext xmlns:c16="http://schemas.microsoft.com/office/drawing/2014/chart" uri="{C3380CC4-5D6E-409C-BE32-E72D297353CC}">
                <c16:uniqueId val="{00000005-E7CA-4E6D-BB82-A6EEF4F45D61}"/>
              </c:ext>
            </c:extLst>
          </c:dPt>
          <c:dLbls>
            <c:dLbl>
              <c:idx val="0"/>
              <c:layout>
                <c:manualLayout>
                  <c:x val="0.10753821126689872"/>
                  <c:y val="9.7707650280042191E-2"/>
                </c:manualLayout>
              </c:layout>
              <c:spPr>
                <a:solidFill>
                  <a:sysClr val="window" lastClr="FFFFFF">
                    <a:alpha val="90000"/>
                  </a:sysClr>
                </a:solidFill>
                <a:ln w="12700" cap="flat" cmpd="sng" algn="ctr">
                  <a:solidFill>
                    <a:srgbClr val="4472C4"/>
                  </a:solidFill>
                  <a:round/>
                </a:ln>
                <a:effectLst>
                  <a:outerShdw blurRad="50800" dist="38100" dir="2700000" algn="tl" rotWithShape="0">
                    <a:srgbClr val="4472C4">
                      <a:lumMod val="75000"/>
                      <a:alpha val="40000"/>
                    </a:srgbClr>
                  </a:outerShdw>
                </a:effectLst>
              </c:spPr>
              <c:txPr>
                <a:bodyPr rot="0" spcFirstLastPara="1" vertOverflow="clip" horzOverflow="clip" vert="horz" wrap="square" lIns="38100" tIns="19050" rIns="38100" bIns="19050" anchor="ctr" anchorCtr="1">
                  <a:spAutoFit/>
                </a:bodyPr>
                <a:lstStyle/>
                <a:p>
                  <a:pPr>
                    <a:defRPr sz="1000" b="0" i="0" u="none" strike="noStrike" kern="1200" baseline="0">
                      <a:solidFill>
                        <a:schemeClr val="accent1"/>
                      </a:solidFill>
                      <a:effectLst/>
                      <a:latin typeface="+mn-lt"/>
                      <a:ea typeface="+mn-ea"/>
                      <a:cs typeface="+mn-cs"/>
                    </a:defRPr>
                  </a:pPr>
                  <a:endParaRPr lang="es-AR"/>
                </a:p>
              </c:txPr>
              <c:dLblPos val="bestFit"/>
              <c:showLegendKey val="0"/>
              <c:showVal val="0"/>
              <c:showCatName val="1"/>
              <c:showSerName val="0"/>
              <c:showPercent val="0"/>
              <c:showBubbleSize val="0"/>
              <c:extLst xmlns:c16r2="http://schemas.microsoft.com/office/drawing/2015/06/chart">
                <c:ext xmlns:c16="http://schemas.microsoft.com/office/drawing/2014/chart" uri="{C3380CC4-5D6E-409C-BE32-E72D297353CC}">
                  <c16:uniqueId val="{00000001-E7CA-4E6D-BB82-A6EEF4F45D61}"/>
                </c:ext>
                <c:ext xmlns:c15="http://schemas.microsoft.com/office/drawing/2012/chart" uri="{CE6537A1-D6FC-4f65-9D91-7224C49458BB}"/>
              </c:extLst>
            </c:dLbl>
            <c:dLbl>
              <c:idx val="1"/>
              <c:layout>
                <c:manualLayout>
                  <c:x val="5.3092621977385783E-2"/>
                  <c:y val="9.0260891450718694E-2"/>
                </c:manualLayout>
              </c:layout>
              <c:spPr>
                <a:solidFill>
                  <a:sysClr val="window" lastClr="FFFFFF">
                    <a:alpha val="90000"/>
                  </a:sysClr>
                </a:solidFill>
                <a:ln w="12700" cap="flat" cmpd="sng" algn="ctr">
                  <a:solidFill>
                    <a:srgbClr val="4472C4"/>
                  </a:solidFill>
                  <a:round/>
                </a:ln>
                <a:effectLst>
                  <a:outerShdw blurRad="50800" dist="38100" dir="2700000" algn="tl" rotWithShape="0">
                    <a:srgbClr val="4472C4">
                      <a:lumMod val="75000"/>
                      <a:alpha val="40000"/>
                    </a:srgbClr>
                  </a:outerShdw>
                </a:effectLst>
              </c:spPr>
              <c:txPr>
                <a:bodyPr rot="0" spcFirstLastPara="1" vertOverflow="clip" horzOverflow="clip" vert="horz" wrap="square" lIns="38100" tIns="19050" rIns="38100" bIns="19050" anchor="ctr" anchorCtr="1">
                  <a:spAutoFit/>
                </a:bodyPr>
                <a:lstStyle/>
                <a:p>
                  <a:pPr>
                    <a:defRPr sz="1000" b="0" i="0" u="none" strike="noStrike" kern="1200" baseline="0">
                      <a:solidFill>
                        <a:schemeClr val="accent2"/>
                      </a:solidFill>
                      <a:effectLst/>
                      <a:latin typeface="+mn-lt"/>
                      <a:ea typeface="+mn-ea"/>
                      <a:cs typeface="+mn-cs"/>
                    </a:defRPr>
                  </a:pPr>
                  <a:endParaRPr lang="es-AR"/>
                </a:p>
              </c:txPr>
              <c:dLblPos val="bestFit"/>
              <c:showLegendKey val="0"/>
              <c:showVal val="0"/>
              <c:showCatName val="1"/>
              <c:showSerName val="0"/>
              <c:showPercent val="0"/>
              <c:showBubbleSize val="0"/>
              <c:extLst xmlns:c16r2="http://schemas.microsoft.com/office/drawing/2015/06/chart">
                <c:ext xmlns:c16="http://schemas.microsoft.com/office/drawing/2014/chart" uri="{C3380CC4-5D6E-409C-BE32-E72D297353CC}">
                  <c16:uniqueId val="{00000003-E7CA-4E6D-BB82-A6EEF4F45D61}"/>
                </c:ext>
                <c:ext xmlns:c15="http://schemas.microsoft.com/office/drawing/2012/chart" uri="{CE6537A1-D6FC-4f65-9D91-7224C49458BB}"/>
              </c:extLst>
            </c:dLbl>
            <c:dLbl>
              <c:idx val="2"/>
              <c:layout>
                <c:manualLayout>
                  <c:x val="-4.0840959518843416E-2"/>
                  <c:y val="-0.19098731494952262"/>
                </c:manualLayout>
              </c:layout>
              <c:spPr>
                <a:solidFill>
                  <a:sysClr val="window" lastClr="FFFFFF">
                    <a:alpha val="90000"/>
                  </a:sysClr>
                </a:solidFill>
                <a:ln w="12700" cap="flat" cmpd="sng" algn="ctr">
                  <a:solidFill>
                    <a:srgbClr val="4472C4"/>
                  </a:solidFill>
                  <a:round/>
                </a:ln>
                <a:effectLst>
                  <a:outerShdw blurRad="50800" dist="38100" dir="2700000" algn="tl" rotWithShape="0">
                    <a:srgbClr val="4472C4">
                      <a:lumMod val="75000"/>
                      <a:alpha val="40000"/>
                    </a:srgbClr>
                  </a:outerShdw>
                </a:effectLst>
              </c:spPr>
              <c:txPr>
                <a:bodyPr rot="0" spcFirstLastPara="1" vertOverflow="clip" horzOverflow="clip" vert="horz" wrap="square" lIns="38100" tIns="19050" rIns="38100" bIns="19050" anchor="ctr" anchorCtr="1">
                  <a:spAutoFit/>
                </a:bodyPr>
                <a:lstStyle/>
                <a:p>
                  <a:pPr>
                    <a:defRPr sz="1000" b="0" i="0" u="none" strike="noStrike" kern="1200" baseline="0">
                      <a:solidFill>
                        <a:schemeClr val="accent3"/>
                      </a:solidFill>
                      <a:effectLst/>
                      <a:latin typeface="+mn-lt"/>
                      <a:ea typeface="+mn-ea"/>
                      <a:cs typeface="+mn-cs"/>
                    </a:defRPr>
                  </a:pPr>
                  <a:endParaRPr lang="es-AR"/>
                </a:p>
              </c:txPr>
              <c:dLblPos val="bestFit"/>
              <c:showLegendKey val="0"/>
              <c:showVal val="0"/>
              <c:showCatName val="1"/>
              <c:showSerName val="0"/>
              <c:showPercent val="0"/>
              <c:showBubbleSize val="0"/>
              <c:extLst xmlns:c16r2="http://schemas.microsoft.com/office/drawing/2015/06/chart">
                <c:ext xmlns:c16="http://schemas.microsoft.com/office/drawing/2014/chart" uri="{C3380CC4-5D6E-409C-BE32-E72D297353CC}">
                  <c16:uniqueId val="{00000005-E7CA-4E6D-BB82-A6EEF4F45D61}"/>
                </c:ext>
                <c:ext xmlns:c15="http://schemas.microsoft.com/office/drawing/2012/chart" uri="{CE6537A1-D6FC-4f65-9D91-7224C49458BB}"/>
              </c:extLst>
            </c:dLbl>
            <c:spPr>
              <a:solidFill>
                <a:sysClr val="window" lastClr="FFFFFF">
                  <a:alpha val="90000"/>
                </a:sysClr>
              </a:solidFill>
              <a:ln w="12700" cap="flat" cmpd="sng" algn="ctr">
                <a:solidFill>
                  <a:srgbClr val="4472C4"/>
                </a:solidFill>
                <a:round/>
              </a:ln>
              <a:effectLst>
                <a:outerShdw blurRad="50800" dist="38100" dir="2700000" algn="tl" rotWithShape="0">
                  <a:srgbClr val="4472C4">
                    <a:lumMod val="75000"/>
                    <a:alpha val="40000"/>
                  </a:srgbClr>
                </a:outerShdw>
              </a:effectLst>
            </c:spPr>
            <c:dLblPos val="inEnd"/>
            <c:showLegendKey val="0"/>
            <c:showVal val="0"/>
            <c:showCatName val="1"/>
            <c:showSerName val="0"/>
            <c:showPercent val="0"/>
            <c:showBubbleSize val="0"/>
            <c:showLeaderLines val="1"/>
            <c:leaderLines>
              <c:spPr>
                <a:ln w="9525">
                  <a:solidFill>
                    <a:schemeClr val="tx1">
                      <a:lumMod val="35000"/>
                      <a:lumOff val="65000"/>
                    </a:schemeClr>
                  </a:solidFill>
                </a:ln>
                <a:effectLst/>
              </c:spPr>
            </c:leaderLines>
            <c:extLst xmlns:c16r2="http://schemas.microsoft.com/office/drawing/2015/06/chart">
              <c:ext xmlns:c15="http://schemas.microsoft.com/office/drawing/2012/chart" uri="{CE6537A1-D6FC-4f65-9D91-7224C49458BB}"/>
            </c:extLst>
          </c:dLbls>
          <c:cat>
            <c:multiLvlStrRef>
              <c:f>Estudio!$B$119:$C$121</c:f>
              <c:multiLvlStrCache>
                <c:ptCount val="3"/>
                <c:lvl>
                  <c:pt idx="0">
                    <c:v>Servicio de implementacion de elementos de reposicion inmediata (según listado desglozado del item1.03)</c:v>
                  </c:pt>
                  <c:pt idx="1">
                    <c:v>Adicional de activo fijo a incorporar al contrato de mantenimiento integral</c:v>
                  </c:pt>
                  <c:pt idx="2">
                    <c:v>Tareas sobre demanda - Mantenimiento Integral</c:v>
                  </c:pt>
                </c:lvl>
                <c:lvl>
                  <c:pt idx="0">
                    <c:v>2</c:v>
                  </c:pt>
                  <c:pt idx="1">
                    <c:v>3</c:v>
                  </c:pt>
                  <c:pt idx="2">
                    <c:v>4</c:v>
                  </c:pt>
                </c:lvl>
              </c:multiLvlStrCache>
            </c:multiLvlStrRef>
          </c:cat>
          <c:val>
            <c:numRef>
              <c:f>Estudio!$D$119:$D$121</c:f>
              <c:numCache>
                <c:formatCode>_-"$"* #,##0_-;\-"$"* #,##0_-;_-"$"* "-"??_-;_-@_-</c:formatCode>
                <c:ptCount val="3"/>
                <c:pt idx="0">
                  <c:v>1051850.8741981727</c:v>
                </c:pt>
                <c:pt idx="1">
                  <c:v>1016321.4678118959</c:v>
                </c:pt>
                <c:pt idx="2">
                  <c:v>3355392.1519819447</c:v>
                </c:pt>
              </c:numCache>
            </c:numRef>
          </c:val>
          <c:extLst xmlns:c16r2="http://schemas.microsoft.com/office/drawing/2015/06/chart">
            <c:ext xmlns:c16="http://schemas.microsoft.com/office/drawing/2014/chart" uri="{C3380CC4-5D6E-409C-BE32-E72D297353CC}">
              <c16:uniqueId val="{00000006-E7CA-4E6D-BB82-A6EEF4F45D61}"/>
            </c:ext>
          </c:extLst>
        </c:ser>
        <c:dLbls>
          <c:dLblPos val="inEnd"/>
          <c:showLegendKey val="0"/>
          <c:showVal val="0"/>
          <c:showCatName val="1"/>
          <c:showSerName val="0"/>
          <c:showPercent val="0"/>
          <c:showBubbleSize val="0"/>
          <c:showLeaderLines val="1"/>
        </c:dLbls>
      </c:pie3DChart>
      <c:spPr>
        <a:noFill/>
        <a:ln>
          <a:noFill/>
        </a:ln>
        <a:effectLst/>
      </c:spPr>
    </c:plotArea>
    <c:plotVisOnly val="1"/>
    <c:dispBlanksAs val="gap"/>
    <c:showDLblsOverMax val="0"/>
    <c:extLst xmlns:c16r2="http://schemas.microsoft.com/office/drawing/2015/06/char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A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63">
  <cs:axisTitle>
    <cs:lnRef idx="0"/>
    <cs:fillRef idx="0"/>
    <cs:effectRef idx="0"/>
    <cs:fontRef idx="minor">
      <a:schemeClr val="tx1">
        <a:lumMod val="50000"/>
        <a:lumOff val="50000"/>
      </a:schemeClr>
    </cs:fontRef>
    <cs:defRPr sz="900" kern="1200"/>
  </cs:axisTitle>
  <cs:categoryAxis>
    <cs:lnRef idx="0"/>
    <cs:fillRef idx="0"/>
    <cs:effectRef idx="0"/>
    <cs:fontRef idx="minor">
      <a:schemeClr val="tx1">
        <a:lumMod val="65000"/>
        <a:lumOff val="35000"/>
      </a:schemeClr>
    </cs:fontRef>
    <cs:spPr>
      <a:ln w="1587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styleClr val="auto"/>
    </cs:lnRef>
    <cs:fillRef idx="0"/>
    <cs:effectRef idx="0">
      <cs:styleClr val="auto"/>
    </cs:effectRef>
    <cs:fontRef idx="minor">
      <cs:styleClr val="auto"/>
    </cs:fontRef>
    <cs:spPr>
      <a:solidFill>
        <a:schemeClr val="lt1">
          <a:alpha val="90000"/>
        </a:schemeClr>
      </a:solidFill>
      <a:ln w="12700" cap="flat" cmpd="sng" algn="ctr">
        <a:solidFill>
          <a:schemeClr val="phClr"/>
        </a:solidFill>
        <a:round/>
      </a:ln>
      <a:effectLst>
        <a:outerShdw blurRad="50800" dist="38100" dir="2700000" algn="tl" rotWithShape="0">
          <a:schemeClr val="phClr">
            <a:lumMod val="75000"/>
            <a:alpha val="40000"/>
          </a:schemeClr>
        </a:outerShdw>
      </a:effectLst>
    </cs:spPr>
    <cs:defRPr sz="1000" b="0" i="0" u="none" strike="noStrike" kern="1200" baseline="0">
      <a:effectLst/>
    </cs:defRPr>
    <cs:bodyPr rot="0" spcFirstLastPara="1" vertOverflow="clip" horzOverflow="clip" vert="horz" wrap="square" lIns="38100" tIns="19050" rIns="38100" bIns="19050" anchor="ctr" anchorCtr="1">
      <a:spAutoFit/>
    </cs:bodyPr>
  </cs:dataLabel>
  <cs:dataLabelCallout>
    <cs:lnRef idx="0">
      <cs:styleClr val="auto"/>
    </cs:lnRef>
    <cs:fillRef idx="0"/>
    <cs:effectRef idx="0">
      <cs:styleClr val="auto"/>
    </cs:effectRef>
    <cs:fontRef idx="minor">
      <cs:styleClr val="auto"/>
    </cs:fontRef>
    <cs:spPr>
      <a:solidFill>
        <a:schemeClr val="lt1">
          <a:alpha val="90000"/>
        </a:schemeClr>
      </a:solidFill>
      <a:ln w="12700" cap="flat" cmpd="sng" algn="ctr">
        <a:solidFill>
          <a:schemeClr val="phClr"/>
        </a:solidFill>
        <a:round/>
      </a:ln>
      <a:effectLst>
        <a:outerShdw blurRad="50800" dist="38100" dir="2700000" algn="tl" rotWithShape="0">
          <a:schemeClr val="phClr">
            <a:lumMod val="75000"/>
            <a:alpha val="40000"/>
          </a:schemeClr>
        </a:outerShdw>
      </a:effectLst>
    </cs:spPr>
    <cs:defRPr sz="1000" b="0" i="0" u="none" strike="noStrike" kern="1200" baseline="0">
      <a:effectLst/>
    </cs:defRPr>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alpha val="70000"/>
        </a:schemeClr>
      </a:solidFill>
    </cs:spPr>
  </cs:dataPoint>
  <cs:dataPoint3D>
    <cs:lnRef idx="0">
      <cs:styleClr val="auto"/>
    </cs:lnRef>
    <cs:fillRef idx="0">
      <cs:styleClr val="auto"/>
    </cs:fillRef>
    <cs:effectRef idx="0">
      <cs:styleClr val="auto"/>
    </cs:effectRef>
    <cs:fontRef idx="minor">
      <a:schemeClr val="tx1"/>
    </cs:fontRef>
    <cs:spPr>
      <a:solidFill>
        <a:schemeClr val="phClr">
          <a:alpha val="90000"/>
        </a:schemeClr>
      </a:solidFill>
      <a:ln w="19050">
        <a:solidFill>
          <a:schemeClr val="phClr">
            <a:lumMod val="75000"/>
          </a:schemeClr>
        </a:solidFill>
      </a:ln>
      <a:effectLst>
        <a:innerShdw blurRad="114300">
          <a:schemeClr val="phClr">
            <a:lumMod val="75000"/>
          </a:schemeClr>
        </a:innerShdw>
      </a:effectLst>
      <a:scene3d>
        <a:camera prst="orthographicFront"/>
        <a:lightRig rig="threePt" dir="t"/>
      </a:scene3d>
      <a:sp3d contourW="19050" prstMaterial="flat">
        <a:contourClr>
          <a:schemeClr val="accent4">
            <a:lumMod val="75000"/>
          </a:schemeClr>
        </a:contourClr>
      </a:sp3d>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5000"/>
            <a:lumOff val="9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35000"/>
            <a:lumOff val="6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800" b="1" kern="1200" cap="all" baseline="0"/>
  </cs:title>
  <cs:trendline>
    <cs:lnRef idx="0">
      <cs:styleClr val="auto"/>
    </cs:lnRef>
    <cs:fillRef idx="0"/>
    <cs:effectRef idx="0"/>
    <cs:fontRef idx="minor">
      <a:schemeClr val="dk1"/>
    </cs:fontRef>
    <cs:spPr>
      <a:ln w="1587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defRPr sz="900" kern="1200" spc="20" baseline="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63">
  <cs:axisTitle>
    <cs:lnRef idx="0"/>
    <cs:fillRef idx="0"/>
    <cs:effectRef idx="0"/>
    <cs:fontRef idx="minor">
      <a:schemeClr val="tx1">
        <a:lumMod val="50000"/>
        <a:lumOff val="50000"/>
      </a:schemeClr>
    </cs:fontRef>
    <cs:defRPr sz="900" kern="1200"/>
  </cs:axisTitle>
  <cs:categoryAxis>
    <cs:lnRef idx="0"/>
    <cs:fillRef idx="0"/>
    <cs:effectRef idx="0"/>
    <cs:fontRef idx="minor">
      <a:schemeClr val="tx1">
        <a:lumMod val="65000"/>
        <a:lumOff val="35000"/>
      </a:schemeClr>
    </cs:fontRef>
    <cs:spPr>
      <a:ln w="1587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styleClr val="auto"/>
    </cs:lnRef>
    <cs:fillRef idx="0"/>
    <cs:effectRef idx="0">
      <cs:styleClr val="auto"/>
    </cs:effectRef>
    <cs:fontRef idx="minor">
      <cs:styleClr val="auto"/>
    </cs:fontRef>
    <cs:spPr>
      <a:solidFill>
        <a:schemeClr val="lt1">
          <a:alpha val="90000"/>
        </a:schemeClr>
      </a:solidFill>
      <a:ln w="12700" cap="flat" cmpd="sng" algn="ctr">
        <a:solidFill>
          <a:schemeClr val="phClr"/>
        </a:solidFill>
        <a:round/>
      </a:ln>
      <a:effectLst>
        <a:outerShdw blurRad="50800" dist="38100" dir="2700000" algn="tl" rotWithShape="0">
          <a:schemeClr val="phClr">
            <a:lumMod val="75000"/>
            <a:alpha val="40000"/>
          </a:schemeClr>
        </a:outerShdw>
      </a:effectLst>
    </cs:spPr>
    <cs:defRPr sz="1000" b="0" i="0" u="none" strike="noStrike" kern="1200" baseline="0">
      <a:effectLst/>
    </cs:defRPr>
    <cs:bodyPr rot="0" spcFirstLastPara="1" vertOverflow="clip" horzOverflow="clip" vert="horz" wrap="square" lIns="38100" tIns="19050" rIns="38100" bIns="19050" anchor="ctr" anchorCtr="1">
      <a:spAutoFit/>
    </cs:bodyPr>
  </cs:dataLabel>
  <cs:dataLabelCallout>
    <cs:lnRef idx="0">
      <cs:styleClr val="auto"/>
    </cs:lnRef>
    <cs:fillRef idx="0"/>
    <cs:effectRef idx="0">
      <cs:styleClr val="auto"/>
    </cs:effectRef>
    <cs:fontRef idx="minor">
      <cs:styleClr val="auto"/>
    </cs:fontRef>
    <cs:spPr>
      <a:solidFill>
        <a:schemeClr val="lt1">
          <a:alpha val="90000"/>
        </a:schemeClr>
      </a:solidFill>
      <a:ln w="12700" cap="flat" cmpd="sng" algn="ctr">
        <a:solidFill>
          <a:schemeClr val="phClr"/>
        </a:solidFill>
        <a:round/>
      </a:ln>
      <a:effectLst>
        <a:outerShdw blurRad="50800" dist="38100" dir="2700000" algn="tl" rotWithShape="0">
          <a:schemeClr val="phClr">
            <a:lumMod val="75000"/>
            <a:alpha val="40000"/>
          </a:schemeClr>
        </a:outerShdw>
      </a:effectLst>
    </cs:spPr>
    <cs:defRPr sz="1000" b="0" i="0" u="none" strike="noStrike" kern="1200" baseline="0">
      <a:effectLst/>
    </cs:defRPr>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alpha val="70000"/>
        </a:schemeClr>
      </a:solidFill>
    </cs:spPr>
  </cs:dataPoint>
  <cs:dataPoint3D>
    <cs:lnRef idx="0">
      <cs:styleClr val="auto"/>
    </cs:lnRef>
    <cs:fillRef idx="0">
      <cs:styleClr val="auto"/>
    </cs:fillRef>
    <cs:effectRef idx="0">
      <cs:styleClr val="auto"/>
    </cs:effectRef>
    <cs:fontRef idx="minor">
      <a:schemeClr val="tx1"/>
    </cs:fontRef>
    <cs:spPr>
      <a:solidFill>
        <a:schemeClr val="phClr">
          <a:alpha val="90000"/>
        </a:schemeClr>
      </a:solidFill>
      <a:ln w="19050">
        <a:solidFill>
          <a:schemeClr val="phClr">
            <a:lumMod val="75000"/>
          </a:schemeClr>
        </a:solidFill>
      </a:ln>
      <a:effectLst>
        <a:innerShdw blurRad="114300">
          <a:schemeClr val="phClr">
            <a:lumMod val="75000"/>
          </a:schemeClr>
        </a:innerShdw>
      </a:effectLst>
      <a:scene3d>
        <a:camera prst="orthographicFront"/>
        <a:lightRig rig="threePt" dir="t"/>
      </a:scene3d>
      <a:sp3d contourW="19050" prstMaterial="flat">
        <a:contourClr>
          <a:schemeClr val="accent4">
            <a:lumMod val="75000"/>
          </a:schemeClr>
        </a:contourClr>
      </a:sp3d>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5000"/>
            <a:lumOff val="9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35000"/>
            <a:lumOff val="6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800" b="1" kern="1200" cap="all" baseline="0"/>
  </cs:title>
  <cs:trendline>
    <cs:lnRef idx="0">
      <cs:styleClr val="auto"/>
    </cs:lnRef>
    <cs:fillRef idx="0"/>
    <cs:effectRef idx="0"/>
    <cs:fontRef idx="minor">
      <a:schemeClr val="dk1"/>
    </cs:fontRef>
    <cs:spPr>
      <a:ln w="1587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defRPr sz="900" kern="1200" spc="20" baseline="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63">
  <cs:axisTitle>
    <cs:lnRef idx="0"/>
    <cs:fillRef idx="0"/>
    <cs:effectRef idx="0"/>
    <cs:fontRef idx="minor">
      <a:schemeClr val="tx1">
        <a:lumMod val="50000"/>
        <a:lumOff val="50000"/>
      </a:schemeClr>
    </cs:fontRef>
    <cs:defRPr sz="900" kern="1200"/>
  </cs:axisTitle>
  <cs:categoryAxis>
    <cs:lnRef idx="0"/>
    <cs:fillRef idx="0"/>
    <cs:effectRef idx="0"/>
    <cs:fontRef idx="minor">
      <a:schemeClr val="tx1">
        <a:lumMod val="65000"/>
        <a:lumOff val="35000"/>
      </a:schemeClr>
    </cs:fontRef>
    <cs:spPr>
      <a:ln w="1587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styleClr val="auto"/>
    </cs:lnRef>
    <cs:fillRef idx="0"/>
    <cs:effectRef idx="0">
      <cs:styleClr val="auto"/>
    </cs:effectRef>
    <cs:fontRef idx="minor">
      <cs:styleClr val="auto"/>
    </cs:fontRef>
    <cs:spPr>
      <a:solidFill>
        <a:schemeClr val="lt1">
          <a:alpha val="90000"/>
        </a:schemeClr>
      </a:solidFill>
      <a:ln w="12700" cap="flat" cmpd="sng" algn="ctr">
        <a:solidFill>
          <a:schemeClr val="phClr"/>
        </a:solidFill>
        <a:round/>
      </a:ln>
      <a:effectLst>
        <a:outerShdw blurRad="50800" dist="38100" dir="2700000" algn="tl" rotWithShape="0">
          <a:schemeClr val="phClr">
            <a:lumMod val="75000"/>
            <a:alpha val="40000"/>
          </a:schemeClr>
        </a:outerShdw>
      </a:effectLst>
    </cs:spPr>
    <cs:defRPr sz="1000" b="0" i="0" u="none" strike="noStrike" kern="1200" baseline="0">
      <a:effectLst/>
    </cs:defRPr>
    <cs:bodyPr rot="0" spcFirstLastPara="1" vertOverflow="clip" horzOverflow="clip" vert="horz" wrap="square" lIns="38100" tIns="19050" rIns="38100" bIns="19050" anchor="ctr" anchorCtr="1">
      <a:spAutoFit/>
    </cs:bodyPr>
  </cs:dataLabel>
  <cs:dataLabelCallout>
    <cs:lnRef idx="0">
      <cs:styleClr val="auto"/>
    </cs:lnRef>
    <cs:fillRef idx="0"/>
    <cs:effectRef idx="0">
      <cs:styleClr val="auto"/>
    </cs:effectRef>
    <cs:fontRef idx="minor">
      <cs:styleClr val="auto"/>
    </cs:fontRef>
    <cs:spPr>
      <a:solidFill>
        <a:schemeClr val="lt1">
          <a:alpha val="90000"/>
        </a:schemeClr>
      </a:solidFill>
      <a:ln w="12700" cap="flat" cmpd="sng" algn="ctr">
        <a:solidFill>
          <a:schemeClr val="phClr"/>
        </a:solidFill>
        <a:round/>
      </a:ln>
      <a:effectLst>
        <a:outerShdw blurRad="50800" dist="38100" dir="2700000" algn="tl" rotWithShape="0">
          <a:schemeClr val="phClr">
            <a:lumMod val="75000"/>
            <a:alpha val="40000"/>
          </a:schemeClr>
        </a:outerShdw>
      </a:effectLst>
    </cs:spPr>
    <cs:defRPr sz="1000" b="0" i="0" u="none" strike="noStrike" kern="1200" baseline="0">
      <a:effectLst/>
    </cs:defRPr>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alpha val="70000"/>
        </a:schemeClr>
      </a:solidFill>
    </cs:spPr>
  </cs:dataPoint>
  <cs:dataPoint3D>
    <cs:lnRef idx="0">
      <cs:styleClr val="auto"/>
    </cs:lnRef>
    <cs:fillRef idx="0">
      <cs:styleClr val="auto"/>
    </cs:fillRef>
    <cs:effectRef idx="0">
      <cs:styleClr val="auto"/>
    </cs:effectRef>
    <cs:fontRef idx="minor">
      <a:schemeClr val="tx1"/>
    </cs:fontRef>
    <cs:spPr>
      <a:solidFill>
        <a:schemeClr val="phClr">
          <a:alpha val="90000"/>
        </a:schemeClr>
      </a:solidFill>
      <a:ln w="19050">
        <a:solidFill>
          <a:schemeClr val="phClr">
            <a:lumMod val="75000"/>
          </a:schemeClr>
        </a:solidFill>
      </a:ln>
      <a:effectLst>
        <a:innerShdw blurRad="114300">
          <a:schemeClr val="phClr">
            <a:lumMod val="75000"/>
          </a:schemeClr>
        </a:innerShdw>
      </a:effectLst>
      <a:scene3d>
        <a:camera prst="orthographicFront"/>
        <a:lightRig rig="threePt" dir="t"/>
      </a:scene3d>
      <a:sp3d contourW="19050" prstMaterial="flat">
        <a:contourClr>
          <a:schemeClr val="accent4">
            <a:lumMod val="75000"/>
          </a:schemeClr>
        </a:contourClr>
      </a:sp3d>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5000"/>
            <a:lumOff val="9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35000"/>
            <a:lumOff val="6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800" b="1" kern="1200" cap="all" baseline="0"/>
  </cs:title>
  <cs:trendline>
    <cs:lnRef idx="0">
      <cs:styleClr val="auto"/>
    </cs:lnRef>
    <cs:fillRef idx="0"/>
    <cs:effectRef idx="0"/>
    <cs:fontRef idx="minor">
      <a:schemeClr val="dk1"/>
    </cs:fontRef>
    <cs:spPr>
      <a:ln w="1587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defRPr sz="900" kern="1200" spc="20" baseline="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263">
  <cs:axisTitle>
    <cs:lnRef idx="0"/>
    <cs:fillRef idx="0"/>
    <cs:effectRef idx="0"/>
    <cs:fontRef idx="minor">
      <a:schemeClr val="tx1">
        <a:lumMod val="50000"/>
        <a:lumOff val="50000"/>
      </a:schemeClr>
    </cs:fontRef>
    <cs:defRPr sz="900" kern="1200"/>
  </cs:axisTitle>
  <cs:categoryAxis>
    <cs:lnRef idx="0"/>
    <cs:fillRef idx="0"/>
    <cs:effectRef idx="0"/>
    <cs:fontRef idx="minor">
      <a:schemeClr val="tx1">
        <a:lumMod val="65000"/>
        <a:lumOff val="35000"/>
      </a:schemeClr>
    </cs:fontRef>
    <cs:spPr>
      <a:ln w="1587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styleClr val="auto"/>
    </cs:lnRef>
    <cs:fillRef idx="0"/>
    <cs:effectRef idx="0">
      <cs:styleClr val="auto"/>
    </cs:effectRef>
    <cs:fontRef idx="minor">
      <cs:styleClr val="auto"/>
    </cs:fontRef>
    <cs:spPr>
      <a:solidFill>
        <a:schemeClr val="lt1">
          <a:alpha val="90000"/>
        </a:schemeClr>
      </a:solidFill>
      <a:ln w="12700" cap="flat" cmpd="sng" algn="ctr">
        <a:solidFill>
          <a:schemeClr val="phClr"/>
        </a:solidFill>
        <a:round/>
      </a:ln>
      <a:effectLst>
        <a:outerShdw blurRad="50800" dist="38100" dir="2700000" algn="tl" rotWithShape="0">
          <a:schemeClr val="phClr">
            <a:lumMod val="75000"/>
            <a:alpha val="40000"/>
          </a:schemeClr>
        </a:outerShdw>
      </a:effectLst>
    </cs:spPr>
    <cs:defRPr sz="1000" b="0" i="0" u="none" strike="noStrike" kern="1200" baseline="0">
      <a:effectLst/>
    </cs:defRPr>
    <cs:bodyPr rot="0" spcFirstLastPara="1" vertOverflow="clip" horzOverflow="clip" vert="horz" wrap="square" lIns="38100" tIns="19050" rIns="38100" bIns="19050" anchor="ctr" anchorCtr="1">
      <a:spAutoFit/>
    </cs:bodyPr>
  </cs:dataLabel>
  <cs:dataLabelCallout>
    <cs:lnRef idx="0">
      <cs:styleClr val="auto"/>
    </cs:lnRef>
    <cs:fillRef idx="0"/>
    <cs:effectRef idx="0">
      <cs:styleClr val="auto"/>
    </cs:effectRef>
    <cs:fontRef idx="minor">
      <cs:styleClr val="auto"/>
    </cs:fontRef>
    <cs:spPr>
      <a:solidFill>
        <a:schemeClr val="lt1">
          <a:alpha val="90000"/>
        </a:schemeClr>
      </a:solidFill>
      <a:ln w="12700" cap="flat" cmpd="sng" algn="ctr">
        <a:solidFill>
          <a:schemeClr val="phClr"/>
        </a:solidFill>
        <a:round/>
      </a:ln>
      <a:effectLst>
        <a:outerShdw blurRad="50800" dist="38100" dir="2700000" algn="tl" rotWithShape="0">
          <a:schemeClr val="phClr">
            <a:lumMod val="75000"/>
            <a:alpha val="40000"/>
          </a:schemeClr>
        </a:outerShdw>
      </a:effectLst>
    </cs:spPr>
    <cs:defRPr sz="1000" b="0" i="0" u="none" strike="noStrike" kern="1200" baseline="0">
      <a:effectLst/>
    </cs:defRPr>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alpha val="70000"/>
        </a:schemeClr>
      </a:solidFill>
    </cs:spPr>
  </cs:dataPoint>
  <cs:dataPoint3D>
    <cs:lnRef idx="0">
      <cs:styleClr val="auto"/>
    </cs:lnRef>
    <cs:fillRef idx="0">
      <cs:styleClr val="auto"/>
    </cs:fillRef>
    <cs:effectRef idx="0">
      <cs:styleClr val="auto"/>
    </cs:effectRef>
    <cs:fontRef idx="minor">
      <a:schemeClr val="tx1"/>
    </cs:fontRef>
    <cs:spPr>
      <a:solidFill>
        <a:schemeClr val="phClr">
          <a:alpha val="90000"/>
        </a:schemeClr>
      </a:solidFill>
      <a:ln w="19050">
        <a:solidFill>
          <a:schemeClr val="phClr">
            <a:lumMod val="75000"/>
          </a:schemeClr>
        </a:solidFill>
      </a:ln>
      <a:effectLst>
        <a:innerShdw blurRad="114300">
          <a:schemeClr val="phClr">
            <a:lumMod val="75000"/>
          </a:schemeClr>
        </a:innerShdw>
      </a:effectLst>
      <a:scene3d>
        <a:camera prst="orthographicFront"/>
        <a:lightRig rig="threePt" dir="t"/>
      </a:scene3d>
      <a:sp3d contourW="19050" prstMaterial="flat">
        <a:contourClr>
          <a:schemeClr val="accent4">
            <a:lumMod val="75000"/>
          </a:schemeClr>
        </a:contourClr>
      </a:sp3d>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5000"/>
            <a:lumOff val="9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35000"/>
            <a:lumOff val="6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800" b="1" kern="1200" cap="all" baseline="0"/>
  </cs:title>
  <cs:trendline>
    <cs:lnRef idx="0">
      <cs:styleClr val="auto"/>
    </cs:lnRef>
    <cs:fillRef idx="0"/>
    <cs:effectRef idx="0"/>
    <cs:fontRef idx="minor">
      <a:schemeClr val="dk1"/>
    </cs:fontRef>
    <cs:spPr>
      <a:ln w="1587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defRPr sz="900" kern="1200" spc="20" baseline="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12700</xdr:colOff>
      <xdr:row>6</xdr:row>
      <xdr:rowOff>228600</xdr:rowOff>
    </xdr:from>
    <xdr:to>
      <xdr:col>6</xdr:col>
      <xdr:colOff>727742</xdr:colOff>
      <xdr:row>18</xdr:row>
      <xdr:rowOff>177800</xdr:rowOff>
    </xdr:to>
    <xdr:pic>
      <xdr:nvPicPr>
        <xdr:cNvPr id="4" name="Imagen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6850" y="1612900"/>
          <a:ext cx="6912642" cy="3117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219075</xdr:colOff>
      <xdr:row>2</xdr:row>
      <xdr:rowOff>11905</xdr:rowOff>
    </xdr:from>
    <xdr:to>
      <xdr:col>6</xdr:col>
      <xdr:colOff>652799</xdr:colOff>
      <xdr:row>4</xdr:row>
      <xdr:rowOff>100012</xdr:rowOff>
    </xdr:to>
    <xdr:pic>
      <xdr:nvPicPr>
        <xdr:cNvPr id="2" name="Imagen 1">
          <a:extLst>
            <a:ext uri="{FF2B5EF4-FFF2-40B4-BE49-F238E27FC236}">
              <a16:creationId xmlns="" xmlns:a16="http://schemas.microsoft.com/office/drawing/2014/main" id="{77BA3631-38D7-441E-AA31-CDA82C75E1C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00725" y="421480"/>
          <a:ext cx="1602124" cy="5262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104775</xdr:colOff>
      <xdr:row>28</xdr:row>
      <xdr:rowOff>171451</xdr:rowOff>
    </xdr:from>
    <xdr:to>
      <xdr:col>6</xdr:col>
      <xdr:colOff>828675</xdr:colOff>
      <xdr:row>46</xdr:row>
      <xdr:rowOff>142875</xdr:rowOff>
    </xdr:to>
    <xdr:graphicFrame macro="">
      <xdr:nvGraphicFramePr>
        <xdr:cNvPr id="2" name="Gráfico 1">
          <a:extLst>
            <a:ext uri="{FF2B5EF4-FFF2-40B4-BE49-F238E27FC236}">
              <a16:creationId xmlns="" xmlns:a16="http://schemas.microsoft.com/office/drawing/2014/main" id="{E1B61FC8-C8DF-476D-BFBA-DDE90B37668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200025</xdr:colOff>
      <xdr:row>59</xdr:row>
      <xdr:rowOff>90487</xdr:rowOff>
    </xdr:from>
    <xdr:to>
      <xdr:col>6</xdr:col>
      <xdr:colOff>809625</xdr:colOff>
      <xdr:row>74</xdr:row>
      <xdr:rowOff>38100</xdr:rowOff>
    </xdr:to>
    <xdr:graphicFrame macro="">
      <xdr:nvGraphicFramePr>
        <xdr:cNvPr id="4" name="Gráfico 3">
          <a:extLst>
            <a:ext uri="{FF2B5EF4-FFF2-40B4-BE49-F238E27FC236}">
              <a16:creationId xmlns="" xmlns:a16="http://schemas.microsoft.com/office/drawing/2014/main" id="{211321DB-4886-4807-8DA3-B41C8EDE1F4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114300</xdr:colOff>
      <xdr:row>96</xdr:row>
      <xdr:rowOff>9525</xdr:rowOff>
    </xdr:from>
    <xdr:to>
      <xdr:col>6</xdr:col>
      <xdr:colOff>838200</xdr:colOff>
      <xdr:row>113</xdr:row>
      <xdr:rowOff>171449</xdr:rowOff>
    </xdr:to>
    <xdr:graphicFrame macro="">
      <xdr:nvGraphicFramePr>
        <xdr:cNvPr id="5" name="Gráfico 4">
          <a:extLst>
            <a:ext uri="{FF2B5EF4-FFF2-40B4-BE49-F238E27FC236}">
              <a16:creationId xmlns="" xmlns:a16="http://schemas.microsoft.com/office/drawing/2014/main" id="{B5C5B336-5A52-42C2-8CBD-F4D3B9C3D0E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133350</xdr:colOff>
      <xdr:row>124</xdr:row>
      <xdr:rowOff>19050</xdr:rowOff>
    </xdr:from>
    <xdr:to>
      <xdr:col>6</xdr:col>
      <xdr:colOff>742950</xdr:colOff>
      <xdr:row>138</xdr:row>
      <xdr:rowOff>157163</xdr:rowOff>
    </xdr:to>
    <xdr:graphicFrame macro="">
      <xdr:nvGraphicFramePr>
        <xdr:cNvPr id="6" name="Gráfico 5">
          <a:extLst>
            <a:ext uri="{FF2B5EF4-FFF2-40B4-BE49-F238E27FC236}">
              <a16:creationId xmlns="" xmlns:a16="http://schemas.microsoft.com/office/drawing/2014/main" id="{A33D38D9-43FD-4E68-B7CB-6736EF6DED0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140"/>
  <sheetViews>
    <sheetView tabSelected="1" view="pageLayout" zoomScaleNormal="75" zoomScaleSheetLayoutView="75" workbookViewId="0">
      <selection activeCell="C41" sqref="C41"/>
    </sheetView>
  </sheetViews>
  <sheetFormatPr baseColWidth="10" defaultRowHeight="14.5" x14ac:dyDescent="0.35"/>
  <cols>
    <col min="1" max="1" width="2.54296875" customWidth="1"/>
    <col min="3" max="3" width="40.81640625" customWidth="1"/>
    <col min="4" max="4" width="8.81640625" customWidth="1"/>
    <col min="5" max="5" width="7.26953125" customWidth="1"/>
    <col min="6" max="6" width="18.81640625" bestFit="1" customWidth="1"/>
    <col min="7" max="7" width="16.81640625" customWidth="1"/>
  </cols>
  <sheetData>
    <row r="1" spans="2:7" x14ac:dyDescent="0.35">
      <c r="F1" s="28"/>
      <c r="G1" s="28"/>
    </row>
    <row r="2" spans="2:7" ht="32.15" customHeight="1" x14ac:dyDescent="0.35">
      <c r="B2" s="123" t="s">
        <v>404</v>
      </c>
      <c r="C2" s="230" t="s">
        <v>790</v>
      </c>
      <c r="D2" s="230"/>
      <c r="E2" s="230"/>
      <c r="F2" s="230"/>
      <c r="G2" s="230"/>
    </row>
    <row r="3" spans="2:7" ht="19" x14ac:dyDescent="0.5">
      <c r="B3" s="2" t="s">
        <v>752</v>
      </c>
      <c r="C3" s="3"/>
      <c r="D3" s="4"/>
      <c r="E3" s="1"/>
      <c r="F3" s="54"/>
      <c r="G3" s="54"/>
    </row>
    <row r="4" spans="2:7" x14ac:dyDescent="0.35">
      <c r="B4" s="5"/>
      <c r="E4" s="5"/>
      <c r="F4" s="28"/>
      <c r="G4" s="28"/>
    </row>
    <row r="5" spans="2:7" x14ac:dyDescent="0.35">
      <c r="B5" s="6" t="s">
        <v>441</v>
      </c>
      <c r="E5" s="5"/>
      <c r="F5" s="28"/>
      <c r="G5" s="28"/>
    </row>
    <row r="6" spans="2:7" x14ac:dyDescent="0.35">
      <c r="B6" s="6"/>
      <c r="E6" s="5"/>
      <c r="F6" s="28"/>
      <c r="G6" s="28"/>
    </row>
    <row r="7" spans="2:7" s="124" customFormat="1" ht="18.5" x14ac:dyDescent="0.45">
      <c r="B7" s="119"/>
      <c r="C7"/>
      <c r="D7"/>
      <c r="E7" s="5"/>
      <c r="F7" s="28"/>
      <c r="G7" s="28"/>
    </row>
    <row r="8" spans="2:7" s="124" customFormat="1" ht="18.5" x14ac:dyDescent="0.45">
      <c r="B8" s="204" t="s">
        <v>371</v>
      </c>
      <c r="C8" s="205"/>
      <c r="D8" s="205"/>
      <c r="E8" s="206"/>
      <c r="F8" s="207"/>
      <c r="G8" s="207" t="s">
        <v>369</v>
      </c>
    </row>
    <row r="9" spans="2:7" s="124" customFormat="1" ht="34.5" customHeight="1" x14ac:dyDescent="0.35">
      <c r="B9" s="231" t="s">
        <v>634</v>
      </c>
      <c r="C9" s="231"/>
      <c r="D9" s="231"/>
      <c r="E9" s="231"/>
      <c r="F9" s="231"/>
      <c r="G9" s="231"/>
    </row>
    <row r="10" spans="2:7" s="124" customFormat="1" ht="15.75" customHeight="1" x14ac:dyDescent="0.35">
      <c r="B10" s="208">
        <v>1</v>
      </c>
      <c r="C10" s="232" t="s">
        <v>743</v>
      </c>
      <c r="D10" s="232"/>
      <c r="E10" s="232"/>
      <c r="F10" s="232"/>
      <c r="G10" s="209">
        <v>0</v>
      </c>
    </row>
    <row r="11" spans="2:7" s="124" customFormat="1" ht="44.25" customHeight="1" x14ac:dyDescent="0.35">
      <c r="B11" s="231" t="s">
        <v>633</v>
      </c>
      <c r="C11" s="231"/>
      <c r="D11" s="231"/>
      <c r="E11" s="231"/>
      <c r="F11" s="231"/>
      <c r="G11" s="231"/>
    </row>
    <row r="12" spans="2:7" s="124" customFormat="1" ht="31.5" customHeight="1" x14ac:dyDescent="0.35">
      <c r="B12" s="208">
        <v>2</v>
      </c>
      <c r="C12" s="232" t="s">
        <v>584</v>
      </c>
      <c r="D12" s="232"/>
      <c r="E12" s="232"/>
      <c r="F12" s="232"/>
      <c r="G12" s="209">
        <v>0</v>
      </c>
    </row>
    <row r="13" spans="2:7" s="124" customFormat="1" x14ac:dyDescent="0.35">
      <c r="B13" s="208">
        <v>3</v>
      </c>
      <c r="C13" s="232" t="s">
        <v>390</v>
      </c>
      <c r="D13" s="232"/>
      <c r="E13" s="232"/>
      <c r="F13" s="232"/>
      <c r="G13" s="209">
        <v>0</v>
      </c>
    </row>
    <row r="14" spans="2:7" s="124" customFormat="1" x14ac:dyDescent="0.35">
      <c r="B14" s="208">
        <v>4</v>
      </c>
      <c r="C14" s="232" t="s">
        <v>12</v>
      </c>
      <c r="D14" s="232"/>
      <c r="E14" s="232"/>
      <c r="F14" s="232"/>
      <c r="G14" s="209">
        <v>0</v>
      </c>
    </row>
    <row r="15" spans="2:7" s="124" customFormat="1" x14ac:dyDescent="0.35">
      <c r="B15" s="199"/>
      <c r="C15" s="200"/>
      <c r="D15" s="201"/>
      <c r="E15" s="199"/>
      <c r="F15" s="202"/>
      <c r="G15" s="203"/>
    </row>
    <row r="16" spans="2:7" s="124" customFormat="1" x14ac:dyDescent="0.35">
      <c r="B16" s="210" t="s">
        <v>30</v>
      </c>
      <c r="C16" s="211"/>
      <c r="D16" s="212"/>
      <c r="E16" s="212"/>
      <c r="F16" s="213"/>
      <c r="G16" s="209">
        <v>0</v>
      </c>
    </row>
    <row r="17" spans="2:7" s="124" customFormat="1" x14ac:dyDescent="0.35">
      <c r="B17" s="210" t="s">
        <v>31</v>
      </c>
      <c r="C17" s="211"/>
      <c r="D17" s="212"/>
      <c r="E17" s="212"/>
      <c r="F17" s="213"/>
      <c r="G17" s="209">
        <v>0</v>
      </c>
    </row>
    <row r="18" spans="2:7" s="124" customFormat="1" x14ac:dyDescent="0.35">
      <c r="B18" s="210" t="s">
        <v>32</v>
      </c>
      <c r="C18" s="211"/>
      <c r="D18" s="214"/>
      <c r="E18" s="215"/>
      <c r="F18" s="213"/>
      <c r="G18" s="209">
        <v>0</v>
      </c>
    </row>
    <row r="19" spans="2:7" s="124" customFormat="1" x14ac:dyDescent="0.35">
      <c r="B19" s="216"/>
      <c r="C19" s="205"/>
      <c r="D19" s="205"/>
      <c r="E19" s="206"/>
      <c r="F19" s="207"/>
      <c r="G19" s="207"/>
    </row>
    <row r="20" spans="2:7" s="124" customFormat="1" x14ac:dyDescent="0.35">
      <c r="B20" s="216"/>
      <c r="C20" s="205"/>
      <c r="D20" s="205"/>
      <c r="E20" s="206"/>
      <c r="F20" s="207"/>
      <c r="G20" s="207"/>
    </row>
    <row r="21" spans="2:7" s="124" customFormat="1" x14ac:dyDescent="0.35">
      <c r="B21" s="216"/>
      <c r="C21" s="205"/>
      <c r="D21" s="205"/>
      <c r="E21" s="206"/>
      <c r="F21" s="207"/>
      <c r="G21" s="207"/>
    </row>
    <row r="22" spans="2:7" s="124" customFormat="1" x14ac:dyDescent="0.35">
      <c r="B22" s="5"/>
      <c r="C22"/>
      <c r="D22"/>
      <c r="E22" s="5"/>
      <c r="F22" s="28"/>
      <c r="G22" s="28"/>
    </row>
    <row r="23" spans="2:7" s="124" customFormat="1" x14ac:dyDescent="0.35">
      <c r="B23"/>
      <c r="C23"/>
      <c r="D23"/>
      <c r="E23"/>
      <c r="F23" s="28"/>
      <c r="G23" s="28"/>
    </row>
    <row r="24" spans="2:7" s="124" customFormat="1" ht="15.75" customHeight="1" x14ac:dyDescent="0.35">
      <c r="B24" s="268" t="s">
        <v>367</v>
      </c>
      <c r="C24" s="268"/>
      <c r="D24" s="268"/>
      <c r="E24" s="268"/>
      <c r="F24" s="268"/>
      <c r="G24" s="268"/>
    </row>
    <row r="25" spans="2:7" s="124" customFormat="1" ht="15.5" x14ac:dyDescent="0.35">
      <c r="B25" s="269"/>
      <c r="C25" s="270" t="s">
        <v>632</v>
      </c>
      <c r="D25" s="270"/>
      <c r="E25" s="269"/>
      <c r="F25" s="271"/>
      <c r="G25" s="271"/>
    </row>
    <row r="26" spans="2:7" s="124" customFormat="1" x14ac:dyDescent="0.35">
      <c r="B26" s="272" t="s">
        <v>259</v>
      </c>
      <c r="C26" s="272" t="s">
        <v>2</v>
      </c>
      <c r="D26" s="272" t="s">
        <v>3</v>
      </c>
      <c r="E26" s="272" t="s">
        <v>4</v>
      </c>
      <c r="F26" s="273" t="s">
        <v>72</v>
      </c>
      <c r="G26" s="273" t="s">
        <v>5</v>
      </c>
    </row>
    <row r="27" spans="2:7" s="124" customFormat="1" x14ac:dyDescent="0.35">
      <c r="B27" s="223">
        <v>1</v>
      </c>
      <c r="C27" s="224" t="s">
        <v>632</v>
      </c>
      <c r="D27" s="225"/>
      <c r="E27" s="225"/>
      <c r="F27" s="225"/>
      <c r="G27" s="226"/>
    </row>
    <row r="28" spans="2:7" s="124" customFormat="1" ht="29" x14ac:dyDescent="0.35">
      <c r="B28" s="184" t="s">
        <v>6</v>
      </c>
      <c r="C28" s="156" t="s">
        <v>234</v>
      </c>
      <c r="D28" s="184" t="s">
        <v>7</v>
      </c>
      <c r="E28" s="164">
        <v>12</v>
      </c>
      <c r="F28" s="274">
        <v>0</v>
      </c>
      <c r="G28" s="274">
        <v>0</v>
      </c>
    </row>
    <row r="29" spans="2:7" s="124" customFormat="1" ht="29" x14ac:dyDescent="0.35">
      <c r="B29" s="184" t="s">
        <v>8</v>
      </c>
      <c r="C29" s="156" t="s">
        <v>235</v>
      </c>
      <c r="D29" s="184" t="s">
        <v>7</v>
      </c>
      <c r="E29" s="164">
        <v>12</v>
      </c>
      <c r="F29" s="274">
        <v>0</v>
      </c>
      <c r="G29" s="274">
        <v>0</v>
      </c>
    </row>
    <row r="30" spans="2:7" s="124" customFormat="1" x14ac:dyDescent="0.35">
      <c r="B30" s="184" t="s">
        <v>443</v>
      </c>
      <c r="C30" s="156" t="s">
        <v>477</v>
      </c>
      <c r="D30" s="184"/>
      <c r="E30" s="164"/>
      <c r="F30" s="274"/>
      <c r="G30" s="274"/>
    </row>
    <row r="31" spans="2:7" s="124" customFormat="1" ht="29" x14ac:dyDescent="0.35">
      <c r="B31" s="62" t="s">
        <v>442</v>
      </c>
      <c r="C31" s="63" t="s">
        <v>788</v>
      </c>
      <c r="D31" s="62" t="s">
        <v>7</v>
      </c>
      <c r="E31" s="62">
        <v>12</v>
      </c>
      <c r="F31" s="275">
        <v>0</v>
      </c>
      <c r="G31" s="275">
        <v>0</v>
      </c>
    </row>
    <row r="32" spans="2:7" s="124" customFormat="1" x14ac:dyDescent="0.35">
      <c r="B32" s="220"/>
      <c r="C32" s="222"/>
      <c r="D32" s="116"/>
      <c r="E32" s="116"/>
      <c r="F32" s="22"/>
      <c r="G32" s="22"/>
    </row>
    <row r="33" spans="2:7" s="124" customFormat="1" x14ac:dyDescent="0.35">
      <c r="B33" s="220"/>
      <c r="C33" s="222"/>
      <c r="D33" s="116"/>
      <c r="E33" s="116"/>
      <c r="F33" s="22"/>
      <c r="G33" s="22"/>
    </row>
    <row r="34" spans="2:7" s="124" customFormat="1" x14ac:dyDescent="0.35">
      <c r="B34" s="220"/>
      <c r="C34" s="115"/>
      <c r="D34" s="116"/>
      <c r="E34" s="22"/>
      <c r="F34" s="22"/>
      <c r="G34" s="22"/>
    </row>
    <row r="35" spans="2:7" s="124" customFormat="1" ht="15.75" customHeight="1" x14ac:dyDescent="0.35">
      <c r="B35" s="234" t="s">
        <v>368</v>
      </c>
      <c r="C35" s="234"/>
      <c r="D35" s="234"/>
      <c r="E35" s="234"/>
      <c r="F35" s="234"/>
      <c r="G35" s="234"/>
    </row>
    <row r="36" spans="2:7" s="124" customFormat="1" ht="15.75" customHeight="1" x14ac:dyDescent="0.35">
      <c r="B36" s="153"/>
      <c r="C36" s="233" t="s">
        <v>478</v>
      </c>
      <c r="D36" s="233"/>
      <c r="E36" s="233"/>
      <c r="F36" s="233"/>
      <c r="G36" s="233"/>
    </row>
    <row r="37" spans="2:7" s="124" customFormat="1" x14ac:dyDescent="0.35">
      <c r="B37" s="184" t="s">
        <v>259</v>
      </c>
      <c r="C37" s="184" t="s">
        <v>2</v>
      </c>
      <c r="D37" s="184" t="s">
        <v>3</v>
      </c>
      <c r="E37" s="184" t="s">
        <v>4</v>
      </c>
      <c r="F37" s="159" t="s">
        <v>72</v>
      </c>
      <c r="G37" s="159" t="s">
        <v>5</v>
      </c>
    </row>
    <row r="38" spans="2:7" s="124" customFormat="1" ht="32.5" customHeight="1" x14ac:dyDescent="0.35">
      <c r="B38" s="184">
        <v>2</v>
      </c>
      <c r="C38" s="224" t="s">
        <v>791</v>
      </c>
      <c r="D38" s="225"/>
      <c r="E38" s="225"/>
      <c r="F38" s="225"/>
      <c r="G38" s="226"/>
    </row>
    <row r="39" spans="2:7" s="124" customFormat="1" ht="29" x14ac:dyDescent="0.35">
      <c r="B39" s="11" t="s">
        <v>9</v>
      </c>
      <c r="C39" s="10" t="s">
        <v>756</v>
      </c>
      <c r="D39" s="11" t="s">
        <v>26</v>
      </c>
      <c r="E39" s="62">
        <v>1</v>
      </c>
      <c r="F39" s="275">
        <v>0</v>
      </c>
      <c r="G39" s="275">
        <v>0</v>
      </c>
    </row>
    <row r="40" spans="2:7" s="124" customFormat="1" ht="29" x14ac:dyDescent="0.35">
      <c r="B40" s="11" t="s">
        <v>10</v>
      </c>
      <c r="C40" s="10" t="s">
        <v>757</v>
      </c>
      <c r="D40" s="11" t="s">
        <v>26</v>
      </c>
      <c r="E40" s="62">
        <v>1</v>
      </c>
      <c r="F40" s="275">
        <v>0</v>
      </c>
      <c r="G40" s="275">
        <v>0</v>
      </c>
    </row>
    <row r="41" spans="2:7" s="124" customFormat="1" ht="29" x14ac:dyDescent="0.35">
      <c r="B41" s="11" t="s">
        <v>11</v>
      </c>
      <c r="C41" s="10" t="s">
        <v>758</v>
      </c>
      <c r="D41" s="11" t="s">
        <v>26</v>
      </c>
      <c r="E41" s="62">
        <v>1</v>
      </c>
      <c r="F41" s="275">
        <v>0</v>
      </c>
      <c r="G41" s="275">
        <v>0</v>
      </c>
    </row>
    <row r="42" spans="2:7" s="124" customFormat="1" ht="43.5" x14ac:dyDescent="0.35">
      <c r="B42" s="11" t="s">
        <v>637</v>
      </c>
      <c r="C42" s="10" t="s">
        <v>759</v>
      </c>
      <c r="D42" s="11" t="s">
        <v>26</v>
      </c>
      <c r="E42" s="62">
        <v>2</v>
      </c>
      <c r="F42" s="275">
        <v>0</v>
      </c>
      <c r="G42" s="275">
        <v>0</v>
      </c>
    </row>
    <row r="43" spans="2:7" s="124" customFormat="1" ht="58" x14ac:dyDescent="0.35">
      <c r="B43" s="11" t="s">
        <v>638</v>
      </c>
      <c r="C43" s="10" t="s">
        <v>760</v>
      </c>
      <c r="D43" s="11" t="s">
        <v>26</v>
      </c>
      <c r="E43" s="62">
        <v>2</v>
      </c>
      <c r="F43" s="275">
        <v>0</v>
      </c>
      <c r="G43" s="275">
        <v>0</v>
      </c>
    </row>
    <row r="44" spans="2:7" s="124" customFormat="1" ht="29" x14ac:dyDescent="0.35">
      <c r="B44" s="11" t="s">
        <v>639</v>
      </c>
      <c r="C44" s="10" t="s">
        <v>761</v>
      </c>
      <c r="D44" s="11" t="s">
        <v>26</v>
      </c>
      <c r="E44" s="62">
        <v>1</v>
      </c>
      <c r="F44" s="275">
        <v>0</v>
      </c>
      <c r="G44" s="275">
        <v>0</v>
      </c>
    </row>
    <row r="45" spans="2:7" s="124" customFormat="1" ht="29" x14ac:dyDescent="0.35">
      <c r="B45" s="11" t="s">
        <v>640</v>
      </c>
      <c r="C45" s="10" t="s">
        <v>762</v>
      </c>
      <c r="D45" s="11" t="s">
        <v>26</v>
      </c>
      <c r="E45" s="62">
        <v>2</v>
      </c>
      <c r="F45" s="275">
        <v>0</v>
      </c>
      <c r="G45" s="275">
        <v>0</v>
      </c>
    </row>
    <row r="46" spans="2:7" s="124" customFormat="1" ht="29" x14ac:dyDescent="0.35">
      <c r="B46" s="11" t="s">
        <v>641</v>
      </c>
      <c r="C46" s="10" t="s">
        <v>763</v>
      </c>
      <c r="D46" s="11" t="s">
        <v>26</v>
      </c>
      <c r="E46" s="62">
        <v>2</v>
      </c>
      <c r="F46" s="275">
        <v>0</v>
      </c>
      <c r="G46" s="275">
        <v>0</v>
      </c>
    </row>
    <row r="47" spans="2:7" s="124" customFormat="1" ht="29" x14ac:dyDescent="0.35">
      <c r="B47" s="11" t="s">
        <v>642</v>
      </c>
      <c r="C47" s="10" t="s">
        <v>764</v>
      </c>
      <c r="D47" s="11" t="s">
        <v>26</v>
      </c>
      <c r="E47" s="62">
        <v>1</v>
      </c>
      <c r="F47" s="275">
        <v>0</v>
      </c>
      <c r="G47" s="275">
        <v>0</v>
      </c>
    </row>
    <row r="48" spans="2:7" s="124" customFormat="1" ht="29" x14ac:dyDescent="0.35">
      <c r="B48" s="11" t="s">
        <v>643</v>
      </c>
      <c r="C48" s="219" t="s">
        <v>765</v>
      </c>
      <c r="D48" s="11" t="s">
        <v>26</v>
      </c>
      <c r="E48" s="62">
        <v>2</v>
      </c>
      <c r="F48" s="275">
        <v>0</v>
      </c>
      <c r="G48" s="275">
        <v>0</v>
      </c>
    </row>
    <row r="49" spans="2:7" s="124" customFormat="1" ht="29" x14ac:dyDescent="0.35">
      <c r="B49" s="11" t="s">
        <v>644</v>
      </c>
      <c r="C49" s="219" t="s">
        <v>766</v>
      </c>
      <c r="D49" s="11" t="s">
        <v>26</v>
      </c>
      <c r="E49" s="62">
        <v>2</v>
      </c>
      <c r="F49" s="275">
        <v>0</v>
      </c>
      <c r="G49" s="275">
        <v>0</v>
      </c>
    </row>
    <row r="50" spans="2:7" s="124" customFormat="1" ht="29" x14ac:dyDescent="0.35">
      <c r="B50" s="11" t="s">
        <v>645</v>
      </c>
      <c r="C50" s="219" t="s">
        <v>767</v>
      </c>
      <c r="D50" s="11" t="s">
        <v>26</v>
      </c>
      <c r="E50" s="62">
        <v>2</v>
      </c>
      <c r="F50" s="275">
        <v>0</v>
      </c>
      <c r="G50" s="275">
        <v>0</v>
      </c>
    </row>
    <row r="51" spans="2:7" s="124" customFormat="1" ht="29" x14ac:dyDescent="0.35">
      <c r="B51" s="11" t="s">
        <v>646</v>
      </c>
      <c r="C51" s="219" t="s">
        <v>768</v>
      </c>
      <c r="D51" s="11" t="s">
        <v>26</v>
      </c>
      <c r="E51" s="62">
        <v>1</v>
      </c>
      <c r="F51" s="275">
        <v>0</v>
      </c>
      <c r="G51" s="275">
        <v>0</v>
      </c>
    </row>
    <row r="52" spans="2:7" s="124" customFormat="1" ht="29" x14ac:dyDescent="0.35">
      <c r="B52" s="11" t="s">
        <v>647</v>
      </c>
      <c r="C52" s="219" t="s">
        <v>768</v>
      </c>
      <c r="D52" s="11" t="s">
        <v>26</v>
      </c>
      <c r="E52" s="62">
        <v>1</v>
      </c>
      <c r="F52" s="275">
        <v>0</v>
      </c>
      <c r="G52" s="275">
        <v>0</v>
      </c>
    </row>
    <row r="53" spans="2:7" s="124" customFormat="1" ht="29" x14ac:dyDescent="0.35">
      <c r="B53" s="11" t="s">
        <v>648</v>
      </c>
      <c r="C53" s="219" t="s">
        <v>769</v>
      </c>
      <c r="D53" s="11" t="s">
        <v>26</v>
      </c>
      <c r="E53" s="62">
        <v>10</v>
      </c>
      <c r="F53" s="275">
        <v>0</v>
      </c>
      <c r="G53" s="275">
        <v>0</v>
      </c>
    </row>
    <row r="54" spans="2:7" s="124" customFormat="1" ht="29" x14ac:dyDescent="0.35">
      <c r="B54" s="11" t="s">
        <v>649</v>
      </c>
      <c r="C54" s="219" t="s">
        <v>770</v>
      </c>
      <c r="D54" s="11" t="s">
        <v>26</v>
      </c>
      <c r="E54" s="62">
        <v>10</v>
      </c>
      <c r="F54" s="275">
        <v>0</v>
      </c>
      <c r="G54" s="275">
        <v>0</v>
      </c>
    </row>
    <row r="55" spans="2:7" s="124" customFormat="1" ht="43.5" x14ac:dyDescent="0.35">
      <c r="B55" s="11" t="s">
        <v>650</v>
      </c>
      <c r="C55" s="219" t="s">
        <v>771</v>
      </c>
      <c r="D55" s="11" t="s">
        <v>26</v>
      </c>
      <c r="E55" s="62">
        <v>5</v>
      </c>
      <c r="F55" s="275">
        <v>0</v>
      </c>
      <c r="G55" s="275">
        <v>0</v>
      </c>
    </row>
    <row r="56" spans="2:7" s="124" customFormat="1" ht="43.5" x14ac:dyDescent="0.35">
      <c r="B56" s="11" t="s">
        <v>651</v>
      </c>
      <c r="C56" s="219" t="s">
        <v>772</v>
      </c>
      <c r="D56" s="11" t="s">
        <v>26</v>
      </c>
      <c r="E56" s="62">
        <v>4</v>
      </c>
      <c r="F56" s="275">
        <v>0</v>
      </c>
      <c r="G56" s="275">
        <v>0</v>
      </c>
    </row>
    <row r="57" spans="2:7" s="124" customFormat="1" ht="43.5" x14ac:dyDescent="0.35">
      <c r="B57" s="11" t="s">
        <v>652</v>
      </c>
      <c r="C57" s="219" t="s">
        <v>773</v>
      </c>
      <c r="D57" s="11" t="s">
        <v>26</v>
      </c>
      <c r="E57" s="62">
        <v>4</v>
      </c>
      <c r="F57" s="275">
        <v>0</v>
      </c>
      <c r="G57" s="275">
        <v>0</v>
      </c>
    </row>
    <row r="58" spans="2:7" s="124" customFormat="1" ht="43.5" x14ac:dyDescent="0.35">
      <c r="B58" s="11" t="s">
        <v>653</v>
      </c>
      <c r="C58" s="219" t="s">
        <v>774</v>
      </c>
      <c r="D58" s="11" t="s">
        <v>26</v>
      </c>
      <c r="E58" s="62">
        <v>3</v>
      </c>
      <c r="F58" s="275">
        <v>0</v>
      </c>
      <c r="G58" s="275">
        <v>0</v>
      </c>
    </row>
    <row r="59" spans="2:7" s="124" customFormat="1" ht="43.5" x14ac:dyDescent="0.35">
      <c r="B59" s="11" t="s">
        <v>654</v>
      </c>
      <c r="C59" s="219" t="s">
        <v>775</v>
      </c>
      <c r="D59" s="11" t="s">
        <v>26</v>
      </c>
      <c r="E59" s="62">
        <v>3</v>
      </c>
      <c r="F59" s="275">
        <v>0</v>
      </c>
      <c r="G59" s="275">
        <v>0</v>
      </c>
    </row>
    <row r="60" spans="2:7" s="124" customFormat="1" ht="43.5" x14ac:dyDescent="0.35">
      <c r="B60" s="11" t="s">
        <v>655</v>
      </c>
      <c r="C60" s="219" t="s">
        <v>776</v>
      </c>
      <c r="D60" s="11" t="s">
        <v>26</v>
      </c>
      <c r="E60" s="62">
        <v>10</v>
      </c>
      <c r="F60" s="275">
        <v>0</v>
      </c>
      <c r="G60" s="275">
        <v>0</v>
      </c>
    </row>
    <row r="61" spans="2:7" s="124" customFormat="1" ht="29" x14ac:dyDescent="0.35">
      <c r="B61" s="11" t="s">
        <v>656</v>
      </c>
      <c r="C61" s="219" t="s">
        <v>777</v>
      </c>
      <c r="D61" s="11" t="s">
        <v>26</v>
      </c>
      <c r="E61" s="62">
        <v>4</v>
      </c>
      <c r="F61" s="275">
        <v>0</v>
      </c>
      <c r="G61" s="275">
        <v>0</v>
      </c>
    </row>
    <row r="62" spans="2:7" s="124" customFormat="1" ht="29" x14ac:dyDescent="0.35">
      <c r="B62" s="11" t="s">
        <v>657</v>
      </c>
      <c r="C62" s="219" t="s">
        <v>778</v>
      </c>
      <c r="D62" s="11" t="s">
        <v>26</v>
      </c>
      <c r="E62" s="62">
        <v>10</v>
      </c>
      <c r="F62" s="275">
        <v>0</v>
      </c>
      <c r="G62" s="275">
        <v>0</v>
      </c>
    </row>
    <row r="63" spans="2:7" s="124" customFormat="1" ht="29" x14ac:dyDescent="0.35">
      <c r="B63" s="11" t="s">
        <v>658</v>
      </c>
      <c r="C63" s="219" t="s">
        <v>779</v>
      </c>
      <c r="D63" s="11" t="s">
        <v>26</v>
      </c>
      <c r="E63" s="62">
        <v>2</v>
      </c>
      <c r="F63" s="275">
        <v>0</v>
      </c>
      <c r="G63" s="275">
        <v>0</v>
      </c>
    </row>
    <row r="64" spans="2:7" s="124" customFormat="1" ht="29" x14ac:dyDescent="0.35">
      <c r="B64" s="11" t="s">
        <v>659</v>
      </c>
      <c r="C64" s="219" t="s">
        <v>780</v>
      </c>
      <c r="D64" s="11" t="s">
        <v>26</v>
      </c>
      <c r="E64" s="62">
        <v>3</v>
      </c>
      <c r="F64" s="275">
        <v>0</v>
      </c>
      <c r="G64" s="275">
        <v>0</v>
      </c>
    </row>
    <row r="65" spans="2:7" s="124" customFormat="1" x14ac:dyDescent="0.35">
      <c r="B65" s="12"/>
      <c r="C65" s="222"/>
      <c r="D65" s="12"/>
      <c r="E65" s="116"/>
      <c r="F65" s="22"/>
      <c r="G65" s="22"/>
    </row>
    <row r="66" spans="2:7" s="124" customFormat="1" x14ac:dyDescent="0.35">
      <c r="B66" s="12"/>
      <c r="C66" s="222"/>
      <c r="D66" s="12"/>
      <c r="E66" s="116"/>
      <c r="F66" s="22"/>
      <c r="G66" s="22"/>
    </row>
    <row r="67" spans="2:7" s="124" customFormat="1" x14ac:dyDescent="0.35">
      <c r="B67" s="12"/>
      <c r="C67" s="13"/>
      <c r="D67" s="12"/>
      <c r="E67" s="116"/>
      <c r="F67" s="22"/>
      <c r="G67" s="22"/>
    </row>
    <row r="68" spans="2:7" s="124" customFormat="1" x14ac:dyDescent="0.35">
      <c r="B68" s="184" t="s">
        <v>259</v>
      </c>
      <c r="C68" s="184" t="s">
        <v>2</v>
      </c>
      <c r="D68" s="184" t="s">
        <v>480</v>
      </c>
      <c r="E68" s="184" t="s">
        <v>4</v>
      </c>
      <c r="F68" s="159" t="s">
        <v>72</v>
      </c>
      <c r="G68" s="159" t="s">
        <v>5</v>
      </c>
    </row>
    <row r="69" spans="2:7" s="124" customFormat="1" x14ac:dyDescent="0.35">
      <c r="B69" s="184">
        <v>3</v>
      </c>
      <c r="C69" s="224" t="s">
        <v>390</v>
      </c>
      <c r="D69" s="225"/>
      <c r="E69" s="225"/>
      <c r="F69" s="225"/>
      <c r="G69" s="226"/>
    </row>
    <row r="70" spans="2:7" s="124" customFormat="1" ht="43.5" x14ac:dyDescent="0.35">
      <c r="B70" s="221" t="s">
        <v>668</v>
      </c>
      <c r="C70" s="219" t="s">
        <v>406</v>
      </c>
      <c r="D70" s="221" t="s">
        <v>26</v>
      </c>
      <c r="E70" s="221">
        <v>26</v>
      </c>
      <c r="F70" s="275">
        <v>0</v>
      </c>
      <c r="G70" s="275">
        <v>0</v>
      </c>
    </row>
    <row r="71" spans="2:7" ht="43.5" x14ac:dyDescent="0.35">
      <c r="B71" s="221" t="s">
        <v>669</v>
      </c>
      <c r="C71" s="219" t="s">
        <v>407</v>
      </c>
      <c r="D71" s="221" t="s">
        <v>26</v>
      </c>
      <c r="E71" s="221">
        <v>13</v>
      </c>
      <c r="F71" s="275">
        <v>0</v>
      </c>
      <c r="G71" s="275">
        <v>0</v>
      </c>
    </row>
    <row r="72" spans="2:7" ht="58" x14ac:dyDescent="0.35">
      <c r="B72" s="221" t="s">
        <v>670</v>
      </c>
      <c r="C72" s="219" t="s">
        <v>408</v>
      </c>
      <c r="D72" s="221" t="s">
        <v>26</v>
      </c>
      <c r="E72" s="221">
        <v>5</v>
      </c>
      <c r="F72" s="275">
        <v>0</v>
      </c>
      <c r="G72" s="275">
        <v>0</v>
      </c>
    </row>
    <row r="73" spans="2:7" ht="43.5" x14ac:dyDescent="0.35">
      <c r="B73" s="221" t="s">
        <v>671</v>
      </c>
      <c r="C73" s="219" t="s">
        <v>409</v>
      </c>
      <c r="D73" s="221" t="s">
        <v>26</v>
      </c>
      <c r="E73" s="221">
        <v>63</v>
      </c>
      <c r="F73" s="275">
        <v>0</v>
      </c>
      <c r="G73" s="275">
        <v>0</v>
      </c>
    </row>
    <row r="74" spans="2:7" ht="58" x14ac:dyDescent="0.35">
      <c r="B74" s="221" t="s">
        <v>672</v>
      </c>
      <c r="C74" s="219" t="s">
        <v>410</v>
      </c>
      <c r="D74" s="221" t="s">
        <v>26</v>
      </c>
      <c r="E74" s="221">
        <v>10</v>
      </c>
      <c r="F74" s="275">
        <v>0</v>
      </c>
      <c r="G74" s="275">
        <v>0</v>
      </c>
    </row>
    <row r="75" spans="2:7" ht="43.5" x14ac:dyDescent="0.35">
      <c r="B75" s="221" t="s">
        <v>673</v>
      </c>
      <c r="C75" s="219" t="s">
        <v>411</v>
      </c>
      <c r="D75" s="221" t="s">
        <v>26</v>
      </c>
      <c r="E75" s="221">
        <v>9</v>
      </c>
      <c r="F75" s="275">
        <v>0</v>
      </c>
      <c r="G75" s="275">
        <v>0</v>
      </c>
    </row>
    <row r="76" spans="2:7" ht="43.5" x14ac:dyDescent="0.35">
      <c r="B76" s="221" t="s">
        <v>674</v>
      </c>
      <c r="C76" s="219" t="s">
        <v>412</v>
      </c>
      <c r="D76" s="221" t="s">
        <v>26</v>
      </c>
      <c r="E76" s="221">
        <v>13</v>
      </c>
      <c r="F76" s="275">
        <v>0</v>
      </c>
      <c r="G76" s="275">
        <v>0</v>
      </c>
    </row>
    <row r="77" spans="2:7" ht="43.5" x14ac:dyDescent="0.35">
      <c r="B77" s="221" t="s">
        <v>675</v>
      </c>
      <c r="C77" s="219" t="s">
        <v>413</v>
      </c>
      <c r="D77" s="221" t="s">
        <v>26</v>
      </c>
      <c r="E77" s="221">
        <v>165</v>
      </c>
      <c r="F77" s="275">
        <v>0</v>
      </c>
      <c r="G77" s="275">
        <v>0</v>
      </c>
    </row>
    <row r="78" spans="2:7" ht="43.5" x14ac:dyDescent="0.35">
      <c r="B78" s="221" t="s">
        <v>676</v>
      </c>
      <c r="C78" s="219" t="s">
        <v>414</v>
      </c>
      <c r="D78" s="221" t="s">
        <v>26</v>
      </c>
      <c r="E78" s="221">
        <v>165</v>
      </c>
      <c r="F78" s="275">
        <v>0</v>
      </c>
      <c r="G78" s="275">
        <v>0</v>
      </c>
    </row>
    <row r="79" spans="2:7" ht="43.5" x14ac:dyDescent="0.35">
      <c r="B79" s="221" t="s">
        <v>677</v>
      </c>
      <c r="C79" s="219" t="s">
        <v>415</v>
      </c>
      <c r="D79" s="221" t="s">
        <v>26</v>
      </c>
      <c r="E79" s="221">
        <v>5</v>
      </c>
      <c r="F79" s="275">
        <v>0</v>
      </c>
      <c r="G79" s="275">
        <v>0</v>
      </c>
    </row>
    <row r="80" spans="2:7" ht="43.5" x14ac:dyDescent="0.35">
      <c r="B80" s="221" t="s">
        <v>678</v>
      </c>
      <c r="C80" s="219" t="s">
        <v>416</v>
      </c>
      <c r="D80" s="221" t="s">
        <v>26</v>
      </c>
      <c r="E80" s="221">
        <v>189</v>
      </c>
      <c r="F80" s="275">
        <v>0</v>
      </c>
      <c r="G80" s="275">
        <v>0</v>
      </c>
    </row>
    <row r="81" spans="2:7" ht="43.5" x14ac:dyDescent="0.35">
      <c r="B81" s="221" t="s">
        <v>679</v>
      </c>
      <c r="C81" s="219" t="s">
        <v>737</v>
      </c>
      <c r="D81" s="221" t="s">
        <v>26</v>
      </c>
      <c r="E81" s="221">
        <v>5</v>
      </c>
      <c r="F81" s="275">
        <v>0</v>
      </c>
      <c r="G81" s="275">
        <v>0</v>
      </c>
    </row>
    <row r="82" spans="2:7" ht="43.5" x14ac:dyDescent="0.35">
      <c r="B82" s="221" t="s">
        <v>680</v>
      </c>
      <c r="C82" s="219" t="s">
        <v>738</v>
      </c>
      <c r="D82" s="221" t="s">
        <v>26</v>
      </c>
      <c r="E82" s="221">
        <v>9</v>
      </c>
      <c r="F82" s="275">
        <v>0</v>
      </c>
      <c r="G82" s="275">
        <v>0</v>
      </c>
    </row>
    <row r="83" spans="2:7" ht="43.5" x14ac:dyDescent="0.35">
      <c r="B83" s="221" t="s">
        <v>681</v>
      </c>
      <c r="C83" s="219" t="s">
        <v>739</v>
      </c>
      <c r="D83" s="221" t="s">
        <v>26</v>
      </c>
      <c r="E83" s="221">
        <v>9</v>
      </c>
      <c r="F83" s="275">
        <v>0</v>
      </c>
      <c r="G83" s="275">
        <v>0</v>
      </c>
    </row>
    <row r="84" spans="2:7" ht="43.5" x14ac:dyDescent="0.35">
      <c r="B84" s="221" t="s">
        <v>682</v>
      </c>
      <c r="C84" s="219" t="s">
        <v>417</v>
      </c>
      <c r="D84" s="221" t="s">
        <v>26</v>
      </c>
      <c r="E84" s="221">
        <v>24</v>
      </c>
      <c r="F84" s="275">
        <v>0</v>
      </c>
      <c r="G84" s="275">
        <v>0</v>
      </c>
    </row>
    <row r="85" spans="2:7" ht="43.5" x14ac:dyDescent="0.35">
      <c r="B85" s="221" t="s">
        <v>683</v>
      </c>
      <c r="C85" s="219" t="s">
        <v>418</v>
      </c>
      <c r="D85" s="221" t="s">
        <v>26</v>
      </c>
      <c r="E85" s="221">
        <v>22</v>
      </c>
      <c r="F85" s="275">
        <v>0</v>
      </c>
      <c r="G85" s="275">
        <v>0</v>
      </c>
    </row>
    <row r="86" spans="2:7" ht="43.5" x14ac:dyDescent="0.35">
      <c r="B86" s="221" t="s">
        <v>684</v>
      </c>
      <c r="C86" s="219" t="s">
        <v>419</v>
      </c>
      <c r="D86" s="221" t="s">
        <v>26</v>
      </c>
      <c r="E86" s="221">
        <v>26</v>
      </c>
      <c r="F86" s="275">
        <v>0</v>
      </c>
      <c r="G86" s="275">
        <v>0</v>
      </c>
    </row>
    <row r="87" spans="2:7" ht="87" x14ac:dyDescent="0.35">
      <c r="B87" s="221" t="s">
        <v>685</v>
      </c>
      <c r="C87" s="219" t="s">
        <v>420</v>
      </c>
      <c r="D87" s="221" t="s">
        <v>26</v>
      </c>
      <c r="E87" s="221">
        <v>91</v>
      </c>
      <c r="F87" s="275">
        <v>0</v>
      </c>
      <c r="G87" s="275">
        <v>0</v>
      </c>
    </row>
    <row r="88" spans="2:7" ht="87" x14ac:dyDescent="0.35">
      <c r="B88" s="221" t="s">
        <v>686</v>
      </c>
      <c r="C88" s="219" t="s">
        <v>421</v>
      </c>
      <c r="D88" s="221" t="s">
        <v>26</v>
      </c>
      <c r="E88" s="221">
        <v>34</v>
      </c>
      <c r="F88" s="275">
        <v>0</v>
      </c>
      <c r="G88" s="275">
        <v>0</v>
      </c>
    </row>
    <row r="89" spans="2:7" ht="101.5" x14ac:dyDescent="0.35">
      <c r="B89" s="221" t="s">
        <v>687</v>
      </c>
      <c r="C89" s="219" t="s">
        <v>422</v>
      </c>
      <c r="D89" s="221" t="s">
        <v>26</v>
      </c>
      <c r="E89" s="221">
        <v>14</v>
      </c>
      <c r="F89" s="275">
        <v>0</v>
      </c>
      <c r="G89" s="275">
        <v>0</v>
      </c>
    </row>
    <row r="90" spans="2:7" ht="87" x14ac:dyDescent="0.35">
      <c r="B90" s="221" t="s">
        <v>688</v>
      </c>
      <c r="C90" s="219" t="s">
        <v>423</v>
      </c>
      <c r="D90" s="221" t="s">
        <v>26</v>
      </c>
      <c r="E90" s="221">
        <v>39</v>
      </c>
      <c r="F90" s="275">
        <v>0</v>
      </c>
      <c r="G90" s="275">
        <v>0</v>
      </c>
    </row>
    <row r="91" spans="2:7" ht="87" x14ac:dyDescent="0.35">
      <c r="B91" s="221" t="s">
        <v>689</v>
      </c>
      <c r="C91" s="219" t="s">
        <v>424</v>
      </c>
      <c r="D91" s="221" t="s">
        <v>26</v>
      </c>
      <c r="E91" s="221">
        <v>22</v>
      </c>
      <c r="F91" s="275">
        <v>0</v>
      </c>
      <c r="G91" s="275">
        <v>0</v>
      </c>
    </row>
    <row r="92" spans="2:7" ht="87" x14ac:dyDescent="0.35">
      <c r="B92" s="221" t="s">
        <v>690</v>
      </c>
      <c r="C92" s="219" t="s">
        <v>425</v>
      </c>
      <c r="D92" s="221" t="s">
        <v>26</v>
      </c>
      <c r="E92" s="221">
        <v>7</v>
      </c>
      <c r="F92" s="275">
        <v>0</v>
      </c>
      <c r="G92" s="275">
        <v>0</v>
      </c>
    </row>
    <row r="93" spans="2:7" ht="87" x14ac:dyDescent="0.35">
      <c r="B93" s="221" t="s">
        <v>691</v>
      </c>
      <c r="C93" s="219" t="s">
        <v>426</v>
      </c>
      <c r="D93" s="221" t="s">
        <v>26</v>
      </c>
      <c r="E93" s="221">
        <v>4</v>
      </c>
      <c r="F93" s="275">
        <v>0</v>
      </c>
      <c r="G93" s="275">
        <v>0</v>
      </c>
    </row>
    <row r="94" spans="2:7" ht="87" x14ac:dyDescent="0.35">
      <c r="B94" s="221" t="s">
        <v>692</v>
      </c>
      <c r="C94" s="219" t="s">
        <v>427</v>
      </c>
      <c r="D94" s="221" t="s">
        <v>26</v>
      </c>
      <c r="E94" s="221">
        <v>32</v>
      </c>
      <c r="F94" s="275">
        <v>0</v>
      </c>
      <c r="G94" s="275">
        <v>0</v>
      </c>
    </row>
    <row r="95" spans="2:7" ht="72.5" x14ac:dyDescent="0.35">
      <c r="B95" s="221" t="s">
        <v>693</v>
      </c>
      <c r="C95" s="219" t="s">
        <v>428</v>
      </c>
      <c r="D95" s="221" t="s">
        <v>26</v>
      </c>
      <c r="E95" s="221">
        <v>5</v>
      </c>
      <c r="F95" s="275">
        <v>0</v>
      </c>
      <c r="G95" s="275">
        <v>0</v>
      </c>
    </row>
    <row r="96" spans="2:7" ht="87" x14ac:dyDescent="0.35">
      <c r="B96" s="221" t="s">
        <v>694</v>
      </c>
      <c r="C96" s="219" t="s">
        <v>429</v>
      </c>
      <c r="D96" s="221" t="s">
        <v>26</v>
      </c>
      <c r="E96" s="221">
        <v>2</v>
      </c>
      <c r="F96" s="275">
        <v>0</v>
      </c>
      <c r="G96" s="275">
        <v>0</v>
      </c>
    </row>
    <row r="97" spans="2:7" ht="101.5" x14ac:dyDescent="0.35">
      <c r="B97" s="221" t="s">
        <v>695</v>
      </c>
      <c r="C97" s="219" t="s">
        <v>430</v>
      </c>
      <c r="D97" s="221" t="s">
        <v>26</v>
      </c>
      <c r="E97" s="221">
        <v>25</v>
      </c>
      <c r="F97" s="275">
        <v>0</v>
      </c>
      <c r="G97" s="275">
        <v>0</v>
      </c>
    </row>
    <row r="98" spans="2:7" ht="101.5" x14ac:dyDescent="0.35">
      <c r="B98" s="221" t="s">
        <v>696</v>
      </c>
      <c r="C98" s="219" t="s">
        <v>431</v>
      </c>
      <c r="D98" s="221" t="s">
        <v>26</v>
      </c>
      <c r="E98" s="221">
        <v>50</v>
      </c>
      <c r="F98" s="275">
        <v>0</v>
      </c>
      <c r="G98" s="275">
        <v>0</v>
      </c>
    </row>
    <row r="99" spans="2:7" ht="87" x14ac:dyDescent="0.35">
      <c r="B99" s="221" t="s">
        <v>697</v>
      </c>
      <c r="C99" s="219" t="s">
        <v>432</v>
      </c>
      <c r="D99" s="221" t="s">
        <v>26</v>
      </c>
      <c r="E99" s="221">
        <v>17</v>
      </c>
      <c r="F99" s="275">
        <v>0</v>
      </c>
      <c r="G99" s="275">
        <v>0</v>
      </c>
    </row>
    <row r="100" spans="2:7" ht="72.5" x14ac:dyDescent="0.35">
      <c r="B100" s="221" t="s">
        <v>698</v>
      </c>
      <c r="C100" s="219" t="s">
        <v>433</v>
      </c>
      <c r="D100" s="221" t="s">
        <v>26</v>
      </c>
      <c r="E100" s="221">
        <v>48</v>
      </c>
      <c r="F100" s="275">
        <v>0</v>
      </c>
      <c r="G100" s="275">
        <v>0</v>
      </c>
    </row>
    <row r="101" spans="2:7" ht="72.5" x14ac:dyDescent="0.35">
      <c r="B101" s="221" t="s">
        <v>699</v>
      </c>
      <c r="C101" s="219" t="s">
        <v>434</v>
      </c>
      <c r="D101" s="221" t="s">
        <v>26</v>
      </c>
      <c r="E101" s="221">
        <v>24</v>
      </c>
      <c r="F101" s="275">
        <v>0</v>
      </c>
      <c r="G101" s="275">
        <v>0</v>
      </c>
    </row>
    <row r="102" spans="2:7" ht="72.5" x14ac:dyDescent="0.35">
      <c r="B102" s="221" t="s">
        <v>700</v>
      </c>
      <c r="C102" s="219" t="s">
        <v>435</v>
      </c>
      <c r="D102" s="221" t="s">
        <v>26</v>
      </c>
      <c r="E102" s="221">
        <v>80</v>
      </c>
      <c r="F102" s="275">
        <v>0</v>
      </c>
      <c r="G102" s="275">
        <v>0</v>
      </c>
    </row>
    <row r="103" spans="2:7" ht="87" x14ac:dyDescent="0.35">
      <c r="B103" s="221" t="s">
        <v>701</v>
      </c>
      <c r="C103" s="219" t="s">
        <v>436</v>
      </c>
      <c r="D103" s="221" t="s">
        <v>26</v>
      </c>
      <c r="E103" s="221">
        <v>41</v>
      </c>
      <c r="F103" s="275">
        <v>0</v>
      </c>
      <c r="G103" s="275">
        <v>0</v>
      </c>
    </row>
    <row r="104" spans="2:7" ht="72.5" x14ac:dyDescent="0.35">
      <c r="B104" s="221" t="s">
        <v>702</v>
      </c>
      <c r="C104" s="219" t="s">
        <v>437</v>
      </c>
      <c r="D104" s="221" t="s">
        <v>26</v>
      </c>
      <c r="E104" s="221">
        <v>36</v>
      </c>
      <c r="F104" s="275">
        <v>0</v>
      </c>
      <c r="G104" s="275">
        <v>0</v>
      </c>
    </row>
    <row r="105" spans="2:7" ht="87" x14ac:dyDescent="0.35">
      <c r="B105" s="221" t="s">
        <v>703</v>
      </c>
      <c r="C105" s="219" t="s">
        <v>438</v>
      </c>
      <c r="D105" s="221" t="s">
        <v>26</v>
      </c>
      <c r="E105" s="221">
        <v>18</v>
      </c>
      <c r="F105" s="275">
        <v>0</v>
      </c>
      <c r="G105" s="275">
        <v>0</v>
      </c>
    </row>
    <row r="106" spans="2:7" ht="72.5" x14ac:dyDescent="0.35">
      <c r="B106" s="221" t="s">
        <v>704</v>
      </c>
      <c r="C106" s="219" t="s">
        <v>439</v>
      </c>
      <c r="D106" s="221" t="s">
        <v>26</v>
      </c>
      <c r="E106" s="221">
        <v>61</v>
      </c>
      <c r="F106" s="275">
        <v>0</v>
      </c>
      <c r="G106" s="275">
        <v>0</v>
      </c>
    </row>
    <row r="107" spans="2:7" ht="87" x14ac:dyDescent="0.35">
      <c r="B107" s="221" t="s">
        <v>705</v>
      </c>
      <c r="C107" s="219" t="s">
        <v>440</v>
      </c>
      <c r="D107" s="221" t="s">
        <v>26</v>
      </c>
      <c r="E107" s="221">
        <v>25</v>
      </c>
      <c r="F107" s="275">
        <v>0</v>
      </c>
      <c r="G107" s="275">
        <v>0</v>
      </c>
    </row>
    <row r="108" spans="2:7" ht="15" thickBot="1" x14ac:dyDescent="0.4">
      <c r="B108" s="161"/>
      <c r="C108" s="162"/>
      <c r="D108" s="65"/>
      <c r="E108" s="65"/>
      <c r="F108" s="152"/>
      <c r="G108" s="163"/>
    </row>
    <row r="109" spans="2:7" ht="29.5" thickBot="1" x14ac:dyDescent="0.4">
      <c r="B109" s="7" t="s">
        <v>259</v>
      </c>
      <c r="C109" s="8" t="s">
        <v>2</v>
      </c>
      <c r="D109" s="8" t="s">
        <v>3</v>
      </c>
      <c r="E109" s="8" t="s">
        <v>4</v>
      </c>
      <c r="F109" s="55" t="s">
        <v>79</v>
      </c>
      <c r="G109" s="56" t="s">
        <v>5</v>
      </c>
    </row>
    <row r="110" spans="2:7" x14ac:dyDescent="0.35">
      <c r="B110" s="184">
        <v>4</v>
      </c>
      <c r="C110" s="227" t="s">
        <v>12</v>
      </c>
      <c r="D110" s="228"/>
      <c r="E110" s="228"/>
      <c r="F110" s="228"/>
      <c r="G110" s="229"/>
    </row>
    <row r="111" spans="2:7" ht="30" customHeight="1" x14ac:dyDescent="0.35">
      <c r="B111" s="9" t="s">
        <v>706</v>
      </c>
      <c r="C111" s="10" t="s">
        <v>781</v>
      </c>
      <c r="D111" s="11" t="s">
        <v>13</v>
      </c>
      <c r="E111" s="149">
        <v>3600</v>
      </c>
      <c r="F111" s="276">
        <v>0</v>
      </c>
      <c r="G111" s="276">
        <v>0</v>
      </c>
    </row>
    <row r="112" spans="2:7" ht="30" customHeight="1" x14ac:dyDescent="0.35">
      <c r="B112" s="9" t="s">
        <v>707</v>
      </c>
      <c r="C112" s="10" t="s">
        <v>782</v>
      </c>
      <c r="D112" s="11" t="s">
        <v>13</v>
      </c>
      <c r="E112" s="149">
        <v>120</v>
      </c>
      <c r="F112" s="275">
        <v>0</v>
      </c>
      <c r="G112" s="276">
        <v>0</v>
      </c>
    </row>
    <row r="113" spans="2:7" ht="30" customHeight="1" x14ac:dyDescent="0.35">
      <c r="B113" s="9" t="s">
        <v>708</v>
      </c>
      <c r="C113" s="10" t="s">
        <v>14</v>
      </c>
      <c r="D113" s="11" t="s">
        <v>7</v>
      </c>
      <c r="E113" s="149">
        <v>12</v>
      </c>
      <c r="F113" s="275">
        <v>0</v>
      </c>
      <c r="G113" s="276">
        <v>0</v>
      </c>
    </row>
    <row r="114" spans="2:7" ht="30" customHeight="1" x14ac:dyDescent="0.35">
      <c r="B114" s="9" t="s">
        <v>709</v>
      </c>
      <c r="C114" s="10" t="s">
        <v>15</v>
      </c>
      <c r="D114" s="11" t="s">
        <v>13</v>
      </c>
      <c r="E114" s="149">
        <v>120</v>
      </c>
      <c r="F114" s="275">
        <v>0</v>
      </c>
      <c r="G114" s="276">
        <v>0</v>
      </c>
    </row>
    <row r="115" spans="2:7" ht="30" customHeight="1" x14ac:dyDescent="0.35">
      <c r="B115" s="9" t="s">
        <v>710</v>
      </c>
      <c r="C115" s="10" t="s">
        <v>16</v>
      </c>
      <c r="D115" s="11" t="s">
        <v>13</v>
      </c>
      <c r="E115" s="149">
        <v>120</v>
      </c>
      <c r="F115" s="275">
        <v>0</v>
      </c>
      <c r="G115" s="276">
        <v>0</v>
      </c>
    </row>
    <row r="116" spans="2:7" ht="30" customHeight="1" x14ac:dyDescent="0.35">
      <c r="B116" s="9" t="s">
        <v>711</v>
      </c>
      <c r="C116" s="10" t="s">
        <v>17</v>
      </c>
      <c r="D116" s="11" t="s">
        <v>13</v>
      </c>
      <c r="E116" s="149">
        <v>60</v>
      </c>
      <c r="F116" s="275">
        <v>0</v>
      </c>
      <c r="G116" s="276">
        <v>0</v>
      </c>
    </row>
    <row r="117" spans="2:7" ht="30" customHeight="1" x14ac:dyDescent="0.35">
      <c r="B117" s="9" t="s">
        <v>712</v>
      </c>
      <c r="C117" s="10" t="s">
        <v>18</v>
      </c>
      <c r="D117" s="11" t="s">
        <v>13</v>
      </c>
      <c r="E117" s="149">
        <v>60</v>
      </c>
      <c r="F117" s="275">
        <v>0</v>
      </c>
      <c r="G117" s="276">
        <v>0</v>
      </c>
    </row>
    <row r="118" spans="2:7" ht="30" customHeight="1" x14ac:dyDescent="0.35">
      <c r="B118" s="9" t="s">
        <v>713</v>
      </c>
      <c r="C118" s="10" t="s">
        <v>19</v>
      </c>
      <c r="D118" s="11" t="s">
        <v>13</v>
      </c>
      <c r="E118" s="149">
        <v>60</v>
      </c>
      <c r="F118" s="275">
        <v>0</v>
      </c>
      <c r="G118" s="276">
        <v>0</v>
      </c>
    </row>
    <row r="119" spans="2:7" ht="30" customHeight="1" x14ac:dyDescent="0.35">
      <c r="B119" s="9" t="s">
        <v>714</v>
      </c>
      <c r="C119" s="10" t="s">
        <v>20</v>
      </c>
      <c r="D119" s="11" t="s">
        <v>13</v>
      </c>
      <c r="E119" s="149">
        <v>60</v>
      </c>
      <c r="F119" s="275">
        <v>0</v>
      </c>
      <c r="G119" s="276">
        <v>0</v>
      </c>
    </row>
    <row r="120" spans="2:7" ht="30" customHeight="1" x14ac:dyDescent="0.35">
      <c r="B120" s="9" t="s">
        <v>715</v>
      </c>
      <c r="C120" s="10" t="s">
        <v>21</v>
      </c>
      <c r="D120" s="11" t="s">
        <v>13</v>
      </c>
      <c r="E120" s="149">
        <v>60</v>
      </c>
      <c r="F120" s="275">
        <v>0</v>
      </c>
      <c r="G120" s="276">
        <v>0</v>
      </c>
    </row>
    <row r="121" spans="2:7" ht="29" x14ac:dyDescent="0.35">
      <c r="B121" s="9" t="s">
        <v>716</v>
      </c>
      <c r="C121" s="10" t="s">
        <v>22</v>
      </c>
      <c r="D121" s="11" t="s">
        <v>23</v>
      </c>
      <c r="E121" s="149">
        <v>5</v>
      </c>
      <c r="F121" s="275">
        <v>0</v>
      </c>
      <c r="G121" s="276">
        <v>0</v>
      </c>
    </row>
    <row r="122" spans="2:7" x14ac:dyDescent="0.35">
      <c r="B122" s="9" t="s">
        <v>717</v>
      </c>
      <c r="C122" s="10" t="s">
        <v>24</v>
      </c>
      <c r="D122" s="11" t="s">
        <v>23</v>
      </c>
      <c r="E122" s="149">
        <v>200</v>
      </c>
      <c r="F122" s="275">
        <v>0</v>
      </c>
      <c r="G122" s="276">
        <v>0</v>
      </c>
    </row>
    <row r="123" spans="2:7" ht="29" x14ac:dyDescent="0.35">
      <c r="B123" s="9" t="s">
        <v>718</v>
      </c>
      <c r="C123" s="10" t="s">
        <v>25</v>
      </c>
      <c r="D123" s="11" t="s">
        <v>26</v>
      </c>
      <c r="E123" s="149">
        <v>3</v>
      </c>
      <c r="F123" s="275">
        <v>0</v>
      </c>
      <c r="G123" s="276">
        <v>0</v>
      </c>
    </row>
    <row r="124" spans="2:7" x14ac:dyDescent="0.35">
      <c r="B124" s="9" t="s">
        <v>719</v>
      </c>
      <c r="C124" s="10" t="s">
        <v>27</v>
      </c>
      <c r="D124" s="11" t="s">
        <v>26</v>
      </c>
      <c r="E124" s="149">
        <v>240</v>
      </c>
      <c r="F124" s="275">
        <v>0</v>
      </c>
      <c r="G124" s="276">
        <v>0</v>
      </c>
    </row>
    <row r="125" spans="2:7" x14ac:dyDescent="0.35">
      <c r="B125" s="9" t="s">
        <v>720</v>
      </c>
      <c r="C125" s="10" t="s">
        <v>783</v>
      </c>
      <c r="D125" s="11" t="s">
        <v>26</v>
      </c>
      <c r="E125" s="149">
        <v>4</v>
      </c>
      <c r="F125" s="275">
        <v>0</v>
      </c>
      <c r="G125" s="276">
        <v>0</v>
      </c>
    </row>
    <row r="126" spans="2:7" x14ac:dyDescent="0.35">
      <c r="B126" s="9" t="s">
        <v>721</v>
      </c>
      <c r="C126" s="10" t="s">
        <v>784</v>
      </c>
      <c r="D126" s="11" t="s">
        <v>785</v>
      </c>
      <c r="E126" s="149">
        <v>10</v>
      </c>
      <c r="F126" s="275">
        <v>0</v>
      </c>
      <c r="G126" s="276">
        <v>0</v>
      </c>
    </row>
    <row r="127" spans="2:7" ht="30" customHeight="1" x14ac:dyDescent="0.35">
      <c r="B127" s="9" t="s">
        <v>722</v>
      </c>
      <c r="C127" s="21" t="s">
        <v>755</v>
      </c>
      <c r="D127" s="11" t="s">
        <v>26</v>
      </c>
      <c r="E127" s="149">
        <v>6</v>
      </c>
      <c r="F127" s="275">
        <v>0</v>
      </c>
      <c r="G127" s="276">
        <v>0</v>
      </c>
    </row>
    <row r="128" spans="2:7" ht="43.5" x14ac:dyDescent="0.35">
      <c r="B128" s="9" t="s">
        <v>723</v>
      </c>
      <c r="C128" s="21" t="s">
        <v>396</v>
      </c>
      <c r="D128" s="11" t="s">
        <v>26</v>
      </c>
      <c r="E128" s="149">
        <v>5</v>
      </c>
      <c r="F128" s="275">
        <v>0</v>
      </c>
      <c r="G128" s="276">
        <v>0</v>
      </c>
    </row>
    <row r="129" spans="2:7" ht="29" x14ac:dyDescent="0.35">
      <c r="B129" s="9" t="s">
        <v>724</v>
      </c>
      <c r="C129" s="21" t="s">
        <v>80</v>
      </c>
      <c r="D129" s="11" t="s">
        <v>81</v>
      </c>
      <c r="E129" s="149">
        <v>250</v>
      </c>
      <c r="F129" s="275">
        <v>0</v>
      </c>
      <c r="G129" s="276">
        <v>0</v>
      </c>
    </row>
    <row r="130" spans="2:7" x14ac:dyDescent="0.35">
      <c r="B130" s="9" t="s">
        <v>725</v>
      </c>
      <c r="C130" s="21" t="s">
        <v>82</v>
      </c>
      <c r="D130" s="11" t="s">
        <v>81</v>
      </c>
      <c r="E130" s="149">
        <v>200</v>
      </c>
      <c r="F130" s="275">
        <v>0</v>
      </c>
      <c r="G130" s="276">
        <v>0</v>
      </c>
    </row>
    <row r="131" spans="2:7" ht="43.5" x14ac:dyDescent="0.35">
      <c r="B131" s="9" t="s">
        <v>726</v>
      </c>
      <c r="C131" s="21" t="s">
        <v>786</v>
      </c>
      <c r="D131" s="11" t="s">
        <v>26</v>
      </c>
      <c r="E131" s="149">
        <v>1</v>
      </c>
      <c r="F131" s="275">
        <v>0</v>
      </c>
      <c r="G131" s="276">
        <v>0</v>
      </c>
    </row>
    <row r="132" spans="2:7" ht="43.5" x14ac:dyDescent="0.35">
      <c r="B132" s="9" t="s">
        <v>727</v>
      </c>
      <c r="C132" s="21" t="s">
        <v>787</v>
      </c>
      <c r="D132" s="11" t="s">
        <v>26</v>
      </c>
      <c r="E132" s="149">
        <v>1</v>
      </c>
      <c r="F132" s="275">
        <v>0</v>
      </c>
      <c r="G132" s="276">
        <v>0</v>
      </c>
    </row>
    <row r="133" spans="2:7" ht="72.5" x14ac:dyDescent="0.35">
      <c r="B133" s="9" t="s">
        <v>728</v>
      </c>
      <c r="C133" s="21" t="s">
        <v>789</v>
      </c>
      <c r="D133" s="11" t="s">
        <v>26</v>
      </c>
      <c r="E133" s="149">
        <v>15</v>
      </c>
      <c r="F133" s="275">
        <v>0</v>
      </c>
      <c r="G133" s="276">
        <v>0</v>
      </c>
    </row>
    <row r="134" spans="2:7" ht="101.5" x14ac:dyDescent="0.35">
      <c r="B134" s="9" t="s">
        <v>729</v>
      </c>
      <c r="C134" s="21" t="s">
        <v>400</v>
      </c>
      <c r="D134" s="11" t="s">
        <v>26</v>
      </c>
      <c r="E134" s="149">
        <v>15</v>
      </c>
      <c r="F134" s="275">
        <v>0</v>
      </c>
      <c r="G134" s="276">
        <v>0</v>
      </c>
    </row>
    <row r="135" spans="2:7" ht="101.5" x14ac:dyDescent="0.35">
      <c r="B135" s="9" t="s">
        <v>730</v>
      </c>
      <c r="C135" s="21" t="s">
        <v>401</v>
      </c>
      <c r="D135" s="11" t="s">
        <v>26</v>
      </c>
      <c r="E135" s="149">
        <v>15</v>
      </c>
      <c r="F135" s="275">
        <v>0</v>
      </c>
      <c r="G135" s="276">
        <v>0</v>
      </c>
    </row>
    <row r="136" spans="2:7" ht="116" x14ac:dyDescent="0.35">
      <c r="B136" s="9" t="s">
        <v>731</v>
      </c>
      <c r="C136" s="35" t="s">
        <v>402</v>
      </c>
      <c r="D136" s="11" t="s">
        <v>26</v>
      </c>
      <c r="E136" s="62">
        <v>8</v>
      </c>
      <c r="F136" s="275">
        <v>0</v>
      </c>
      <c r="G136" s="276">
        <v>0</v>
      </c>
    </row>
    <row r="137" spans="2:7" ht="43.5" x14ac:dyDescent="0.35">
      <c r="B137" s="9" t="s">
        <v>732</v>
      </c>
      <c r="C137" s="35" t="s">
        <v>744</v>
      </c>
      <c r="D137" s="11" t="s">
        <v>26</v>
      </c>
      <c r="E137" s="62">
        <v>2</v>
      </c>
      <c r="F137" s="275">
        <v>0</v>
      </c>
      <c r="G137" s="276">
        <v>0</v>
      </c>
    </row>
    <row r="138" spans="2:7" ht="43.5" x14ac:dyDescent="0.35">
      <c r="B138" s="9" t="s">
        <v>733</v>
      </c>
      <c r="C138" s="36" t="s">
        <v>745</v>
      </c>
      <c r="D138" s="11" t="s">
        <v>26</v>
      </c>
      <c r="E138" s="62">
        <v>2</v>
      </c>
      <c r="F138" s="275">
        <v>0</v>
      </c>
      <c r="G138" s="276">
        <v>0</v>
      </c>
    </row>
    <row r="139" spans="2:7" ht="43.5" x14ac:dyDescent="0.35">
      <c r="B139" s="9" t="s">
        <v>734</v>
      </c>
      <c r="C139" s="21" t="s">
        <v>746</v>
      </c>
      <c r="D139" s="11" t="s">
        <v>26</v>
      </c>
      <c r="E139" s="62">
        <v>2</v>
      </c>
      <c r="F139" s="275">
        <v>0</v>
      </c>
      <c r="G139" s="276">
        <v>0</v>
      </c>
    </row>
    <row r="140" spans="2:7" x14ac:dyDescent="0.35">
      <c r="B140" s="9" t="s">
        <v>735</v>
      </c>
      <c r="C140" s="21" t="s">
        <v>754</v>
      </c>
      <c r="D140" s="32" t="s">
        <v>753</v>
      </c>
      <c r="E140" s="62">
        <v>1600</v>
      </c>
      <c r="F140" s="275">
        <v>0</v>
      </c>
      <c r="G140" s="276">
        <v>0</v>
      </c>
    </row>
  </sheetData>
  <sheetProtection algorithmName="SHA-512" hashValue="XJuaFmkWn2S53atd7QNYaod3V4ZQ+aDW4c7l4el38Udm8tw8HTfZFu93O0bBC4JDL1cdPdFK1IMcgMp+xn6Pbw==" saltValue="RjvE3aHjNY/xeDw1djXgUg==" spinCount="100000" sheet="1" objects="1" scenarios="1"/>
  <mergeCells count="14">
    <mergeCell ref="C38:G38"/>
    <mergeCell ref="C69:G69"/>
    <mergeCell ref="C110:G110"/>
    <mergeCell ref="C2:G2"/>
    <mergeCell ref="B9:G9"/>
    <mergeCell ref="C10:F10"/>
    <mergeCell ref="B11:G11"/>
    <mergeCell ref="C36:G36"/>
    <mergeCell ref="C12:F12"/>
    <mergeCell ref="C13:F13"/>
    <mergeCell ref="C14:F14"/>
    <mergeCell ref="B24:G24"/>
    <mergeCell ref="B35:G35"/>
    <mergeCell ref="C27:G27"/>
  </mergeCells>
  <pageMargins left="0.7" right="0.5625" top="1.2291666666666667" bottom="0.75" header="0.3" footer="0.3"/>
  <pageSetup paperSize="9" scale="79" orientation="portrait" r:id="rId1"/>
  <headerFooter>
    <oddHeader>&amp;L&amp;G&amp;CGERENCIA GENERAL ADMINISTRATIVA
P.I.M. EST. CONSTITUCIÓN – L. ROCA 
PLANILLA DE COTIZACION&amp;RRevisión 01
PET nº &amp;A
Fecha: 09/2018 
&amp;P de &amp;N</oddHead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D12"/>
  <sheetViews>
    <sheetView workbookViewId="0">
      <selection activeCell="C16" sqref="C16"/>
    </sheetView>
  </sheetViews>
  <sheetFormatPr baseColWidth="10" defaultRowHeight="14.5" x14ac:dyDescent="0.35"/>
  <cols>
    <col min="1" max="1" width="28.7265625" customWidth="1"/>
    <col min="2" max="2" width="5.453125" bestFit="1" customWidth="1"/>
    <col min="3" max="3" width="46.1796875" customWidth="1"/>
  </cols>
  <sheetData>
    <row r="4" spans="1:4" ht="18.5" x14ac:dyDescent="0.45">
      <c r="A4" s="119"/>
      <c r="B4" s="81" t="s">
        <v>750</v>
      </c>
      <c r="C4" s="73" t="s">
        <v>2</v>
      </c>
      <c r="D4" s="73" t="s">
        <v>751</v>
      </c>
    </row>
    <row r="5" spans="1:4" ht="52" x14ac:dyDescent="0.35">
      <c r="A5" s="198" t="s">
        <v>747</v>
      </c>
      <c r="B5" s="196">
        <v>1</v>
      </c>
      <c r="C5" s="156" t="s">
        <v>748</v>
      </c>
      <c r="D5" s="197">
        <v>0</v>
      </c>
    </row>
    <row r="6" spans="1:4" ht="43.5" x14ac:dyDescent="0.35">
      <c r="A6" s="235" t="s">
        <v>749</v>
      </c>
      <c r="B6" s="196">
        <v>2</v>
      </c>
      <c r="C6" s="156" t="s">
        <v>742</v>
      </c>
      <c r="D6" s="197">
        <v>0</v>
      </c>
    </row>
    <row r="7" spans="1:4" ht="29" x14ac:dyDescent="0.35">
      <c r="A7" s="235"/>
      <c r="B7" s="196">
        <v>3</v>
      </c>
      <c r="C7" s="156" t="s">
        <v>390</v>
      </c>
      <c r="D7" s="197">
        <v>0</v>
      </c>
    </row>
    <row r="8" spans="1:4" ht="27.75" customHeight="1" x14ac:dyDescent="0.35">
      <c r="A8" s="235"/>
      <c r="B8" s="196">
        <v>4</v>
      </c>
      <c r="C8" s="156" t="s">
        <v>12</v>
      </c>
      <c r="D8" s="197">
        <v>0</v>
      </c>
    </row>
    <row r="10" spans="1:4" x14ac:dyDescent="0.35">
      <c r="C10" s="217" t="s">
        <v>30</v>
      </c>
      <c r="D10" s="218">
        <v>0</v>
      </c>
    </row>
    <row r="11" spans="1:4" x14ac:dyDescent="0.35">
      <c r="C11" s="217" t="s">
        <v>31</v>
      </c>
      <c r="D11" s="218">
        <v>0</v>
      </c>
    </row>
    <row r="12" spans="1:4" x14ac:dyDescent="0.35">
      <c r="C12" s="217" t="s">
        <v>32</v>
      </c>
      <c r="D12" s="218">
        <v>0</v>
      </c>
    </row>
  </sheetData>
  <mergeCells count="1">
    <mergeCell ref="A6:A8"/>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348"/>
  <sheetViews>
    <sheetView topLeftCell="A22" zoomScale="75" zoomScaleNormal="75" zoomScaleSheetLayoutView="75" workbookViewId="0">
      <selection activeCell="F26" sqref="F26"/>
    </sheetView>
  </sheetViews>
  <sheetFormatPr baseColWidth="10" defaultRowHeight="14.5" x14ac:dyDescent="0.35"/>
  <cols>
    <col min="1" max="1" width="21.54296875" customWidth="1"/>
    <col min="2" max="2" width="10" customWidth="1"/>
    <col min="3" max="3" width="57.81640625" customWidth="1"/>
    <col min="4" max="4" width="6.7265625" customWidth="1"/>
    <col min="5" max="5" width="7.26953125" customWidth="1"/>
    <col min="6" max="6" width="17.54296875" style="28" customWidth="1"/>
    <col min="7" max="7" width="16.7265625" style="28" bestFit="1" customWidth="1"/>
    <col min="8" max="8" width="14.1796875" customWidth="1"/>
    <col min="9" max="9" width="14.54296875" customWidth="1"/>
    <col min="10" max="10" width="11.453125" customWidth="1"/>
    <col min="11" max="11" width="13.453125" customWidth="1"/>
    <col min="12" max="12" width="11.453125" customWidth="1"/>
    <col min="13" max="13" width="19.7265625" customWidth="1"/>
    <col min="14" max="14" width="64.81640625" customWidth="1"/>
    <col min="17" max="17" width="17.26953125" bestFit="1" customWidth="1"/>
  </cols>
  <sheetData>
    <row r="1" spans="2:10" x14ac:dyDescent="0.35">
      <c r="I1">
        <v>18</v>
      </c>
      <c r="J1" t="s">
        <v>38</v>
      </c>
    </row>
    <row r="2" spans="2:10" ht="31.5" customHeight="1" x14ac:dyDescent="0.35">
      <c r="B2" s="123" t="s">
        <v>404</v>
      </c>
      <c r="C2" s="230" t="s">
        <v>405</v>
      </c>
      <c r="D2" s="230"/>
      <c r="E2" s="230"/>
      <c r="F2" s="230"/>
      <c r="G2" s="230"/>
      <c r="I2" s="45">
        <v>0.41</v>
      </c>
      <c r="J2" t="s">
        <v>193</v>
      </c>
    </row>
    <row r="3" spans="2:10" ht="19" x14ac:dyDescent="0.5">
      <c r="B3" s="2" t="s">
        <v>0</v>
      </c>
      <c r="C3" s="3"/>
      <c r="D3" s="4"/>
      <c r="E3" s="1"/>
      <c r="F3" s="54"/>
      <c r="G3" s="54"/>
      <c r="I3" s="112">
        <f>Estudio!G82</f>
        <v>1.1948098434004475</v>
      </c>
      <c r="J3" t="s">
        <v>365</v>
      </c>
    </row>
    <row r="4" spans="2:10" x14ac:dyDescent="0.35">
      <c r="B4" s="5"/>
      <c r="E4" s="5"/>
      <c r="I4" s="112">
        <f>Estudio!G83</f>
        <v>1.0498819522196843</v>
      </c>
      <c r="J4" t="s">
        <v>366</v>
      </c>
    </row>
    <row r="5" spans="2:10" x14ac:dyDescent="0.35">
      <c r="B5" s="6" t="s">
        <v>1</v>
      </c>
      <c r="E5" s="5"/>
    </row>
    <row r="6" spans="2:10" x14ac:dyDescent="0.35">
      <c r="B6" s="6"/>
      <c r="E6" s="5"/>
    </row>
    <row r="7" spans="2:10" ht="18.5" x14ac:dyDescent="0.45">
      <c r="B7" s="119" t="s">
        <v>371</v>
      </c>
      <c r="E7" s="5"/>
      <c r="G7" s="28" t="s">
        <v>369</v>
      </c>
      <c r="H7" s="28" t="s">
        <v>370</v>
      </c>
    </row>
    <row r="8" spans="2:10" ht="16" thickBot="1" x14ac:dyDescent="0.4">
      <c r="B8" s="240" t="s">
        <v>634</v>
      </c>
      <c r="C8" s="240"/>
      <c r="D8" s="240"/>
      <c r="E8" s="240"/>
      <c r="F8" s="240"/>
      <c r="G8" s="240"/>
      <c r="H8" s="28"/>
    </row>
    <row r="9" spans="2:10" s="125" customFormat="1" ht="30" customHeight="1" thickBot="1" x14ac:dyDescent="0.4">
      <c r="B9" s="143" t="str">
        <f>B26</f>
        <v>1.01</v>
      </c>
      <c r="C9" s="236" t="str">
        <f>C26</f>
        <v>Oferta por servicio de Limpieza Tecnica según PET</v>
      </c>
      <c r="D9" s="237"/>
      <c r="E9" s="237"/>
      <c r="F9" s="238"/>
      <c r="G9" s="166">
        <f>G26</f>
        <v>7743755.1000000006</v>
      </c>
      <c r="H9" s="166">
        <f>G182</f>
        <v>9012196.0998429712</v>
      </c>
    </row>
    <row r="10" spans="2:10" s="125" customFormat="1" ht="30" customHeight="1" thickBot="1" x14ac:dyDescent="0.4">
      <c r="B10" s="143" t="str">
        <f t="shared" ref="B10:C10" si="0">B27</f>
        <v>1.02</v>
      </c>
      <c r="C10" s="236" t="str">
        <f t="shared" si="0"/>
        <v>Oferta por servicio de mantenimiento predictivo, preventivo y correctivo, según PET</v>
      </c>
      <c r="D10" s="237"/>
      <c r="E10" s="237"/>
      <c r="F10" s="238"/>
      <c r="G10" s="166">
        <f t="shared" ref="G10:G11" si="1">G27</f>
        <v>18068761.900000002</v>
      </c>
      <c r="H10" s="166">
        <f>G183</f>
        <v>21028457.566300265</v>
      </c>
    </row>
    <row r="11" spans="2:10" s="125" customFormat="1" ht="30" customHeight="1" thickBot="1" x14ac:dyDescent="0.4">
      <c r="B11" s="143" t="str">
        <f t="shared" ref="B11:C11" si="2">B28</f>
        <v>1.03</v>
      </c>
      <c r="C11" s="236" t="str">
        <f t="shared" si="2"/>
        <v>Oferta por servicio de reposicion inmediata.</v>
      </c>
      <c r="D11" s="237"/>
      <c r="E11" s="237"/>
      <c r="F11" s="238"/>
      <c r="G11" s="166">
        <f t="shared" si="1"/>
        <v>2664753.3599999994</v>
      </c>
      <c r="H11" s="166">
        <f>G184</f>
        <v>2016787.9896117575</v>
      </c>
    </row>
    <row r="12" spans="2:10" s="125" customFormat="1" ht="30" customHeight="1" thickBot="1" x14ac:dyDescent="0.4">
      <c r="B12" s="240" t="s">
        <v>633</v>
      </c>
      <c r="C12" s="240"/>
      <c r="D12" s="240"/>
      <c r="E12" s="240"/>
      <c r="F12" s="240"/>
      <c r="G12" s="240"/>
      <c r="H12" s="166"/>
    </row>
    <row r="13" spans="2:10" s="125" customFormat="1" ht="30" customHeight="1" thickBot="1" x14ac:dyDescent="0.4">
      <c r="B13" s="143">
        <f>B68</f>
        <v>2</v>
      </c>
      <c r="C13" s="236" t="str">
        <f>C68</f>
        <v>Servicio de implementacion de elementos de reposicion inmediata (según listado desglozado del item1.03)</v>
      </c>
      <c r="D13" s="237"/>
      <c r="E13" s="237"/>
      <c r="F13" s="238"/>
      <c r="G13" s="166">
        <f>G68</f>
        <v>799426.00800000003</v>
      </c>
      <c r="H13" s="166">
        <f t="shared" ref="H13:H15" si="3">G185</f>
        <v>1479396.4475361079</v>
      </c>
    </row>
    <row r="14" spans="2:10" s="125" customFormat="1" ht="30" customHeight="1" thickBot="1" x14ac:dyDescent="0.4">
      <c r="B14" s="143">
        <f>B105</f>
        <v>3</v>
      </c>
      <c r="C14" s="236" t="str">
        <f>C105</f>
        <v>Adicional de activo fijo a incorporar al contrato de mantenimiento integral</v>
      </c>
      <c r="D14" s="237"/>
      <c r="E14" s="237"/>
      <c r="F14" s="238"/>
      <c r="G14" s="166">
        <f>G105</f>
        <v>1380319.5</v>
      </c>
      <c r="H14" s="166">
        <f t="shared" si="3"/>
        <v>1429425.4118310772</v>
      </c>
    </row>
    <row r="15" spans="2:10" s="125" customFormat="1" ht="30" customHeight="1" thickBot="1" x14ac:dyDescent="0.4">
      <c r="B15" s="143">
        <f>B146</f>
        <v>4</v>
      </c>
      <c r="C15" s="236" t="str">
        <f>C146</f>
        <v>Tareas sobre demanda - Mantenimiento Integral</v>
      </c>
      <c r="D15" s="237"/>
      <c r="E15" s="237"/>
      <c r="F15" s="238"/>
      <c r="G15" s="166">
        <f>G146</f>
        <v>4557134.0999999996</v>
      </c>
      <c r="H15" s="166">
        <f t="shared" si="3"/>
        <v>4719257.5977242542</v>
      </c>
    </row>
    <row r="16" spans="2:10" s="125" customFormat="1" ht="30" customHeight="1" thickBot="1" x14ac:dyDescent="0.4">
      <c r="B16" s="126"/>
      <c r="C16" s="127"/>
      <c r="D16" s="128"/>
      <c r="E16" s="126"/>
      <c r="F16" s="129"/>
      <c r="G16" s="167"/>
      <c r="H16" s="167"/>
    </row>
    <row r="17" spans="2:17" s="125" customFormat="1" ht="30" customHeight="1" thickBot="1" x14ac:dyDescent="0.4">
      <c r="B17" s="144" t="s">
        <v>30</v>
      </c>
      <c r="C17" s="16"/>
      <c r="D17" s="17"/>
      <c r="E17" s="17"/>
      <c r="F17" s="58"/>
      <c r="G17" s="166">
        <f>SUM(G9:G15)</f>
        <v>35214149.968000002</v>
      </c>
      <c r="H17" s="166">
        <f>SUM(H9:H15)</f>
        <v>39685521.112846427</v>
      </c>
    </row>
    <row r="18" spans="2:17" s="125" customFormat="1" ht="30" customHeight="1" thickBot="1" x14ac:dyDescent="0.4">
      <c r="B18" s="145" t="s">
        <v>31</v>
      </c>
      <c r="C18" s="18"/>
      <c r="D18" s="19"/>
      <c r="E18" s="19"/>
      <c r="F18" s="59"/>
      <c r="G18" s="166">
        <f>G17*21%</f>
        <v>7394971.4932800001</v>
      </c>
      <c r="H18" s="166">
        <f>H17*21%</f>
        <v>8333959.4336977489</v>
      </c>
    </row>
    <row r="19" spans="2:17" s="125" customFormat="1" ht="30" customHeight="1" thickBot="1" x14ac:dyDescent="0.4">
      <c r="B19" s="146" t="s">
        <v>32</v>
      </c>
      <c r="C19" s="20"/>
      <c r="D19" s="147"/>
      <c r="E19" s="148"/>
      <c r="F19" s="60"/>
      <c r="G19" s="166">
        <f>G17+G18</f>
        <v>42609121.461280003</v>
      </c>
      <c r="H19" s="166">
        <f>H17+H18</f>
        <v>48019480.546544179</v>
      </c>
    </row>
    <row r="20" spans="2:17" x14ac:dyDescent="0.35">
      <c r="B20" s="6"/>
      <c r="E20" s="5"/>
    </row>
    <row r="21" spans="2:17" x14ac:dyDescent="0.35">
      <c r="B21" s="5"/>
      <c r="E21" s="5"/>
    </row>
    <row r="22" spans="2:17" ht="30.75" customHeight="1" x14ac:dyDescent="0.35">
      <c r="I22" s="239" t="s">
        <v>257</v>
      </c>
      <c r="J22" s="239"/>
      <c r="K22" s="239"/>
      <c r="L22" s="79"/>
    </row>
    <row r="23" spans="2:17" ht="16.5" customHeight="1" x14ac:dyDescent="0.35">
      <c r="B23" s="234" t="s">
        <v>367</v>
      </c>
      <c r="C23" s="234"/>
      <c r="D23" s="234"/>
      <c r="E23" s="234"/>
      <c r="F23" s="234"/>
      <c r="G23" s="234"/>
    </row>
    <row r="24" spans="2:17" ht="15.5" x14ac:dyDescent="0.35">
      <c r="B24" s="153" t="s">
        <v>636</v>
      </c>
      <c r="C24" s="154" t="s">
        <v>632</v>
      </c>
      <c r="D24" s="154"/>
      <c r="E24" s="153"/>
      <c r="F24" s="155"/>
      <c r="G24" s="155"/>
      <c r="H24" s="46">
        <f>G26+G27+G28</f>
        <v>28477270.360000003</v>
      </c>
      <c r="I24" s="48" t="s">
        <v>192</v>
      </c>
      <c r="J24" s="48" t="s">
        <v>193</v>
      </c>
      <c r="K24" s="48" t="s">
        <v>194</v>
      </c>
      <c r="L24" s="46"/>
    </row>
    <row r="25" spans="2:17" x14ac:dyDescent="0.35">
      <c r="B25" s="151" t="s">
        <v>259</v>
      </c>
      <c r="C25" s="151" t="s">
        <v>2</v>
      </c>
      <c r="D25" s="151" t="s">
        <v>3</v>
      </c>
      <c r="E25" s="151" t="s">
        <v>4</v>
      </c>
      <c r="F25" s="159" t="s">
        <v>72</v>
      </c>
      <c r="G25" s="159" t="s">
        <v>5</v>
      </c>
      <c r="H25" s="46"/>
      <c r="I25" s="48"/>
      <c r="J25" s="48"/>
      <c r="K25" s="48"/>
      <c r="L25" s="46"/>
    </row>
    <row r="26" spans="2:17" x14ac:dyDescent="0.35">
      <c r="B26" s="151" t="s">
        <v>6</v>
      </c>
      <c r="C26" s="156" t="s">
        <v>234</v>
      </c>
      <c r="D26" s="151" t="s">
        <v>7</v>
      </c>
      <c r="E26" s="157">
        <v>12</v>
      </c>
      <c r="F26" s="158">
        <f>K26</f>
        <v>645312.92500000005</v>
      </c>
      <c r="G26" s="158">
        <f>E26*F26</f>
        <v>7743755.1000000006</v>
      </c>
      <c r="I26" s="47">
        <f>((Gastos!H2/12)*0.3)</f>
        <v>645312.92500000005</v>
      </c>
      <c r="J26" s="47"/>
      <c r="K26" s="47">
        <f>I26+J26</f>
        <v>645312.92500000005</v>
      </c>
      <c r="M26" s="170" t="s">
        <v>586</v>
      </c>
      <c r="N26" s="170" t="s">
        <v>587</v>
      </c>
      <c r="O26" s="171" t="s">
        <v>588</v>
      </c>
    </row>
    <row r="27" spans="2:17" ht="29" x14ac:dyDescent="0.35">
      <c r="B27" s="151" t="s">
        <v>8</v>
      </c>
      <c r="C27" s="156" t="s">
        <v>235</v>
      </c>
      <c r="D27" s="151" t="s">
        <v>7</v>
      </c>
      <c r="E27" s="157">
        <v>12</v>
      </c>
      <c r="F27" s="158">
        <f>K27</f>
        <v>1505730.1583333334</v>
      </c>
      <c r="G27" s="158">
        <f>E27*F27</f>
        <v>18068761.900000002</v>
      </c>
      <c r="I27" s="47">
        <f>((Gastos!H2/12)*0.7)</f>
        <v>1505730.1583333334</v>
      </c>
      <c r="J27" s="47"/>
      <c r="K27" s="47">
        <f>I27+J27</f>
        <v>1505730.1583333334</v>
      </c>
      <c r="M27" s="173" t="s">
        <v>589</v>
      </c>
      <c r="N27" s="173" t="s">
        <v>590</v>
      </c>
      <c r="O27" s="172" t="s">
        <v>588</v>
      </c>
    </row>
    <row r="28" spans="2:17" x14ac:dyDescent="0.35">
      <c r="B28" s="151" t="s">
        <v>443</v>
      </c>
      <c r="C28" s="156" t="s">
        <v>477</v>
      </c>
      <c r="D28" s="151" t="s">
        <v>7</v>
      </c>
      <c r="E28" s="157">
        <v>12</v>
      </c>
      <c r="F28" s="158">
        <f>SUM(G30:G63)/12</f>
        <v>222062.77999999994</v>
      </c>
      <c r="G28" s="158">
        <f>E28*F28</f>
        <v>2664753.3599999994</v>
      </c>
      <c r="H28" s="46"/>
      <c r="K28" s="46"/>
      <c r="L28" s="46"/>
      <c r="M28" s="180" t="s">
        <v>631</v>
      </c>
      <c r="N28" s="180" t="s">
        <v>611</v>
      </c>
      <c r="O28" s="181" t="s">
        <v>593</v>
      </c>
      <c r="Q28" s="195">
        <f>F68+F105+F146</f>
        <v>6736879.6079999991</v>
      </c>
    </row>
    <row r="29" spans="2:17" x14ac:dyDescent="0.35">
      <c r="B29" s="151"/>
      <c r="C29" s="156"/>
      <c r="D29" s="151"/>
      <c r="E29" s="157"/>
      <c r="F29" s="158"/>
      <c r="G29" s="158"/>
      <c r="H29" s="46"/>
      <c r="K29" s="46"/>
      <c r="L29" s="46"/>
      <c r="Q29" t="s">
        <v>740</v>
      </c>
    </row>
    <row r="30" spans="2:17" x14ac:dyDescent="0.35">
      <c r="B30" s="62" t="s">
        <v>442</v>
      </c>
      <c r="C30" s="63" t="s">
        <v>379</v>
      </c>
      <c r="D30" s="62" t="s">
        <v>26</v>
      </c>
      <c r="E30" s="23">
        <v>12</v>
      </c>
      <c r="F30" s="14">
        <f t="shared" ref="F30:F63" si="4">K30</f>
        <v>91650</v>
      </c>
      <c r="G30" s="14">
        <f>E30*F30</f>
        <v>1099800</v>
      </c>
      <c r="I30" s="52">
        <v>65000</v>
      </c>
      <c r="J30" s="51">
        <f t="shared" ref="J30:J63" si="5">I30*$I$2</f>
        <v>26650</v>
      </c>
      <c r="K30" s="51">
        <f>I30+J30</f>
        <v>91650</v>
      </c>
    </row>
    <row r="31" spans="2:17" ht="29" x14ac:dyDescent="0.35">
      <c r="B31" s="62" t="s">
        <v>444</v>
      </c>
      <c r="C31" s="63" t="s">
        <v>380</v>
      </c>
      <c r="D31" s="62" t="s">
        <v>26</v>
      </c>
      <c r="E31" s="23">
        <v>2</v>
      </c>
      <c r="F31" s="14">
        <f t="shared" si="4"/>
        <v>30456</v>
      </c>
      <c r="G31" s="14">
        <f t="shared" ref="G31:G61" si="6">E31*F31</f>
        <v>60912</v>
      </c>
      <c r="I31" s="52">
        <f>1200*$I$1</f>
        <v>21600</v>
      </c>
      <c r="J31" s="51">
        <f>I31*$I$2</f>
        <v>8856</v>
      </c>
      <c r="K31" s="51">
        <f t="shared" ref="K31:K166" si="7">I31+J31</f>
        <v>30456</v>
      </c>
    </row>
    <row r="32" spans="2:17" ht="29" x14ac:dyDescent="0.35">
      <c r="B32" s="62" t="s">
        <v>445</v>
      </c>
      <c r="C32" s="63" t="s">
        <v>381</v>
      </c>
      <c r="D32" s="62" t="s">
        <v>26</v>
      </c>
      <c r="E32" s="23">
        <v>2</v>
      </c>
      <c r="F32" s="14">
        <f t="shared" si="4"/>
        <v>38070</v>
      </c>
      <c r="G32" s="14">
        <f t="shared" si="6"/>
        <v>76140</v>
      </c>
      <c r="I32" s="52">
        <f>1500*$I$1</f>
        <v>27000</v>
      </c>
      <c r="J32" s="51">
        <f t="shared" si="5"/>
        <v>11070</v>
      </c>
      <c r="K32" s="51">
        <f t="shared" ref="K32:K34" si="8">I32+J32</f>
        <v>38070</v>
      </c>
    </row>
    <row r="33" spans="2:11" ht="29" x14ac:dyDescent="0.35">
      <c r="B33" s="62" t="s">
        <v>446</v>
      </c>
      <c r="C33" s="63" t="s">
        <v>382</v>
      </c>
      <c r="D33" s="62" t="s">
        <v>26</v>
      </c>
      <c r="E33" s="23">
        <v>2</v>
      </c>
      <c r="F33" s="14">
        <f t="shared" si="4"/>
        <v>53298</v>
      </c>
      <c r="G33" s="14">
        <f t="shared" si="6"/>
        <v>106596</v>
      </c>
      <c r="I33" s="52">
        <f>2100*$I$1</f>
        <v>37800</v>
      </c>
      <c r="J33" s="51">
        <f t="shared" si="5"/>
        <v>15497.999999999998</v>
      </c>
      <c r="K33" s="51">
        <f t="shared" si="8"/>
        <v>53298</v>
      </c>
    </row>
    <row r="34" spans="2:11" x14ac:dyDescent="0.35">
      <c r="B34" s="62" t="s">
        <v>447</v>
      </c>
      <c r="C34" s="63" t="s">
        <v>195</v>
      </c>
      <c r="D34" s="62" t="s">
        <v>26</v>
      </c>
      <c r="E34" s="23">
        <v>3</v>
      </c>
      <c r="F34" s="14">
        <f t="shared" si="4"/>
        <v>9644.4</v>
      </c>
      <c r="G34" s="14">
        <f t="shared" si="6"/>
        <v>28933.199999999997</v>
      </c>
      <c r="I34" s="52">
        <f>380*$I$1</f>
        <v>6840</v>
      </c>
      <c r="J34" s="51">
        <f t="shared" si="5"/>
        <v>2804.3999999999996</v>
      </c>
      <c r="K34" s="51">
        <f t="shared" si="8"/>
        <v>9644.4</v>
      </c>
    </row>
    <row r="35" spans="2:11" x14ac:dyDescent="0.35">
      <c r="B35" s="62" t="s">
        <v>448</v>
      </c>
      <c r="C35" s="63" t="s">
        <v>196</v>
      </c>
      <c r="D35" s="62" t="s">
        <v>26</v>
      </c>
      <c r="E35" s="23">
        <v>5</v>
      </c>
      <c r="F35" s="14">
        <f t="shared" si="4"/>
        <v>12309.3</v>
      </c>
      <c r="G35" s="14">
        <f t="shared" si="6"/>
        <v>61546.5</v>
      </c>
      <c r="I35" s="52">
        <f>485*$I$1</f>
        <v>8730</v>
      </c>
      <c r="J35" s="51">
        <f t="shared" si="5"/>
        <v>3579.2999999999997</v>
      </c>
      <c r="K35" s="51">
        <f t="shared" ref="K35:K37" si="9">I35+J35</f>
        <v>12309.3</v>
      </c>
    </row>
    <row r="36" spans="2:11" x14ac:dyDescent="0.35">
      <c r="B36" s="62" t="s">
        <v>449</v>
      </c>
      <c r="C36" s="63" t="s">
        <v>197</v>
      </c>
      <c r="D36" s="62" t="s">
        <v>26</v>
      </c>
      <c r="E36" s="23">
        <v>5</v>
      </c>
      <c r="F36" s="14">
        <f t="shared" si="4"/>
        <v>15862.5</v>
      </c>
      <c r="G36" s="14">
        <f t="shared" si="6"/>
        <v>79312.5</v>
      </c>
      <c r="I36" s="52">
        <f>625*$I$1</f>
        <v>11250</v>
      </c>
      <c r="J36" s="51">
        <f t="shared" si="5"/>
        <v>4612.5</v>
      </c>
      <c r="K36" s="51">
        <f t="shared" si="9"/>
        <v>15862.5</v>
      </c>
    </row>
    <row r="37" spans="2:11" x14ac:dyDescent="0.35">
      <c r="B37" s="62" t="s">
        <v>450</v>
      </c>
      <c r="C37" s="63" t="s">
        <v>198</v>
      </c>
      <c r="D37" s="62" t="s">
        <v>26</v>
      </c>
      <c r="E37" s="23">
        <v>1</v>
      </c>
      <c r="F37" s="14">
        <f t="shared" si="4"/>
        <v>157356</v>
      </c>
      <c r="G37" s="14">
        <f t="shared" si="6"/>
        <v>157356</v>
      </c>
      <c r="I37" s="52">
        <f>6200*$I$1</f>
        <v>111600</v>
      </c>
      <c r="J37" s="51">
        <f t="shared" si="5"/>
        <v>45756</v>
      </c>
      <c r="K37" s="51">
        <f t="shared" si="9"/>
        <v>157356</v>
      </c>
    </row>
    <row r="38" spans="2:11" x14ac:dyDescent="0.35">
      <c r="B38" s="62" t="s">
        <v>451</v>
      </c>
      <c r="C38" s="64" t="s">
        <v>604</v>
      </c>
      <c r="D38" s="62" t="s">
        <v>26</v>
      </c>
      <c r="E38" s="23">
        <v>2</v>
      </c>
      <c r="F38" s="14">
        <f t="shared" si="4"/>
        <v>10998</v>
      </c>
      <c r="G38" s="14">
        <f t="shared" si="6"/>
        <v>21996</v>
      </c>
      <c r="I38" s="52">
        <v>7800</v>
      </c>
      <c r="J38" s="51">
        <f t="shared" si="5"/>
        <v>3198</v>
      </c>
      <c r="K38" s="51">
        <f t="shared" si="7"/>
        <v>10998</v>
      </c>
    </row>
    <row r="39" spans="2:11" x14ac:dyDescent="0.35">
      <c r="B39" s="62" t="s">
        <v>452</v>
      </c>
      <c r="C39" s="64" t="s">
        <v>603</v>
      </c>
      <c r="D39" s="62" t="s">
        <v>26</v>
      </c>
      <c r="E39" s="23">
        <v>2</v>
      </c>
      <c r="F39" s="14">
        <f t="shared" si="4"/>
        <v>4794</v>
      </c>
      <c r="G39" s="14">
        <f t="shared" si="6"/>
        <v>9588</v>
      </c>
      <c r="I39" s="52">
        <v>3400</v>
      </c>
      <c r="J39" s="51">
        <f t="shared" si="5"/>
        <v>1394</v>
      </c>
      <c r="K39" s="51">
        <f t="shared" si="7"/>
        <v>4794</v>
      </c>
    </row>
    <row r="40" spans="2:11" x14ac:dyDescent="0.35">
      <c r="B40" s="62" t="s">
        <v>453</v>
      </c>
      <c r="C40" s="63" t="s">
        <v>384</v>
      </c>
      <c r="D40" s="62" t="s">
        <v>26</v>
      </c>
      <c r="E40" s="23">
        <v>5</v>
      </c>
      <c r="F40" s="14">
        <f t="shared" si="4"/>
        <v>17484</v>
      </c>
      <c r="G40" s="14">
        <f t="shared" si="6"/>
        <v>87420</v>
      </c>
      <c r="I40" s="52">
        <v>12400</v>
      </c>
      <c r="J40" s="51">
        <f t="shared" si="5"/>
        <v>5084</v>
      </c>
      <c r="K40" s="51">
        <f t="shared" si="7"/>
        <v>17484</v>
      </c>
    </row>
    <row r="41" spans="2:11" x14ac:dyDescent="0.35">
      <c r="B41" s="62" t="s">
        <v>454</v>
      </c>
      <c r="C41" s="63" t="s">
        <v>385</v>
      </c>
      <c r="D41" s="62" t="s">
        <v>26</v>
      </c>
      <c r="E41" s="23">
        <v>2</v>
      </c>
      <c r="F41" s="14">
        <f t="shared" si="4"/>
        <v>45798.21</v>
      </c>
      <c r="G41" s="14">
        <f t="shared" si="6"/>
        <v>91596.42</v>
      </c>
      <c r="I41" s="52">
        <v>32481</v>
      </c>
      <c r="J41" s="51">
        <f t="shared" si="5"/>
        <v>13317.21</v>
      </c>
      <c r="K41" s="51">
        <f t="shared" si="7"/>
        <v>45798.21</v>
      </c>
    </row>
    <row r="42" spans="2:11" x14ac:dyDescent="0.35">
      <c r="B42" s="62" t="s">
        <v>455</v>
      </c>
      <c r="C42" s="63" t="s">
        <v>386</v>
      </c>
      <c r="D42" s="62" t="s">
        <v>26</v>
      </c>
      <c r="E42" s="23">
        <v>1</v>
      </c>
      <c r="F42" s="14">
        <f t="shared" si="4"/>
        <v>121824</v>
      </c>
      <c r="G42" s="14">
        <f t="shared" si="6"/>
        <v>121824</v>
      </c>
      <c r="I42" s="168">
        <f>4800*I1</f>
        <v>86400</v>
      </c>
      <c r="J42" s="51">
        <f t="shared" si="5"/>
        <v>35424</v>
      </c>
      <c r="K42" s="51">
        <f t="shared" ref="K42:K47" si="10">I42+J42</f>
        <v>121824</v>
      </c>
    </row>
    <row r="43" spans="2:11" x14ac:dyDescent="0.35">
      <c r="B43" s="62" t="s">
        <v>456</v>
      </c>
      <c r="C43" s="63" t="s">
        <v>199</v>
      </c>
      <c r="D43" s="62" t="s">
        <v>26</v>
      </c>
      <c r="E43" s="23">
        <v>3</v>
      </c>
      <c r="F43" s="14">
        <f t="shared" si="4"/>
        <v>3807</v>
      </c>
      <c r="G43" s="14">
        <f t="shared" si="6"/>
        <v>11421</v>
      </c>
      <c r="I43" s="168">
        <f>150*I1</f>
        <v>2700</v>
      </c>
      <c r="J43" s="51">
        <f t="shared" si="5"/>
        <v>1107</v>
      </c>
      <c r="K43" s="51">
        <f t="shared" si="10"/>
        <v>3807</v>
      </c>
    </row>
    <row r="44" spans="2:11" x14ac:dyDescent="0.35">
      <c r="B44" s="62" t="s">
        <v>457</v>
      </c>
      <c r="C44" s="63" t="s">
        <v>200</v>
      </c>
      <c r="D44" s="62" t="s">
        <v>26</v>
      </c>
      <c r="E44" s="23">
        <v>3</v>
      </c>
      <c r="F44" s="14">
        <f t="shared" si="4"/>
        <v>10405.799999999999</v>
      </c>
      <c r="G44" s="14">
        <f t="shared" si="6"/>
        <v>31217.399999999998</v>
      </c>
      <c r="I44" s="168">
        <f>410*I1</f>
        <v>7380</v>
      </c>
      <c r="J44" s="51">
        <f t="shared" si="5"/>
        <v>3025.7999999999997</v>
      </c>
      <c r="K44" s="51">
        <f t="shared" si="10"/>
        <v>10405.799999999999</v>
      </c>
    </row>
    <row r="45" spans="2:11" x14ac:dyDescent="0.35">
      <c r="B45" s="62" t="s">
        <v>458</v>
      </c>
      <c r="C45" s="63" t="s">
        <v>201</v>
      </c>
      <c r="D45" s="62" t="s">
        <v>26</v>
      </c>
      <c r="E45" s="23">
        <v>3</v>
      </c>
      <c r="F45" s="14">
        <f t="shared" si="4"/>
        <v>4441.5</v>
      </c>
      <c r="G45" s="14">
        <f t="shared" si="6"/>
        <v>13324.5</v>
      </c>
      <c r="I45" s="168">
        <f>175*I1</f>
        <v>3150</v>
      </c>
      <c r="J45" s="51">
        <f t="shared" si="5"/>
        <v>1291.5</v>
      </c>
      <c r="K45" s="51">
        <f t="shared" si="10"/>
        <v>4441.5</v>
      </c>
    </row>
    <row r="46" spans="2:11" x14ac:dyDescent="0.35">
      <c r="B46" s="62" t="s">
        <v>459</v>
      </c>
      <c r="C46" s="63" t="s">
        <v>202</v>
      </c>
      <c r="D46" s="62" t="s">
        <v>26</v>
      </c>
      <c r="E46" s="23">
        <v>2</v>
      </c>
      <c r="F46" s="14">
        <f t="shared" si="4"/>
        <v>36293.4</v>
      </c>
      <c r="G46" s="14">
        <f t="shared" si="6"/>
        <v>72586.8</v>
      </c>
      <c r="I46" s="168">
        <f>1430*I1</f>
        <v>25740</v>
      </c>
      <c r="J46" s="51">
        <f t="shared" si="5"/>
        <v>10553.4</v>
      </c>
      <c r="K46" s="51">
        <f t="shared" si="10"/>
        <v>36293.4</v>
      </c>
    </row>
    <row r="47" spans="2:11" x14ac:dyDescent="0.35">
      <c r="B47" s="62" t="s">
        <v>460</v>
      </c>
      <c r="C47" s="63" t="s">
        <v>203</v>
      </c>
      <c r="D47" s="62" t="s">
        <v>26</v>
      </c>
      <c r="E47" s="23">
        <v>2</v>
      </c>
      <c r="F47" s="14">
        <f t="shared" si="4"/>
        <v>46953</v>
      </c>
      <c r="G47" s="14">
        <f t="shared" si="6"/>
        <v>93906</v>
      </c>
      <c r="I47" s="168">
        <f>1850*I1</f>
        <v>33300</v>
      </c>
      <c r="J47" s="51">
        <f t="shared" si="5"/>
        <v>13653</v>
      </c>
      <c r="K47" s="51">
        <f t="shared" si="10"/>
        <v>46953</v>
      </c>
    </row>
    <row r="48" spans="2:11" x14ac:dyDescent="0.35">
      <c r="B48" s="62" t="s">
        <v>461</v>
      </c>
      <c r="C48" s="63" t="s">
        <v>39</v>
      </c>
      <c r="D48" s="62" t="s">
        <v>26</v>
      </c>
      <c r="E48" s="23">
        <v>10</v>
      </c>
      <c r="F48" s="14">
        <f t="shared" si="4"/>
        <v>1218.24</v>
      </c>
      <c r="G48" s="14">
        <f t="shared" si="6"/>
        <v>12182.4</v>
      </c>
      <c r="I48" s="52">
        <f>48*$I$1</f>
        <v>864</v>
      </c>
      <c r="J48" s="51">
        <f t="shared" si="5"/>
        <v>354.23999999999995</v>
      </c>
      <c r="K48" s="51">
        <f t="shared" si="7"/>
        <v>1218.24</v>
      </c>
    </row>
    <row r="49" spans="2:11" ht="29" x14ac:dyDescent="0.35">
      <c r="B49" s="62" t="s">
        <v>462</v>
      </c>
      <c r="C49" s="63" t="s">
        <v>40</v>
      </c>
      <c r="D49" s="62" t="s">
        <v>26</v>
      </c>
      <c r="E49" s="23">
        <v>10</v>
      </c>
      <c r="F49" s="14">
        <f t="shared" si="4"/>
        <v>2208.06</v>
      </c>
      <c r="G49" s="14">
        <f t="shared" si="6"/>
        <v>22080.6</v>
      </c>
      <c r="I49" s="52">
        <f>87*$I$1</f>
        <v>1566</v>
      </c>
      <c r="J49" s="51">
        <f t="shared" si="5"/>
        <v>642.05999999999995</v>
      </c>
      <c r="K49" s="51">
        <f t="shared" si="7"/>
        <v>2208.06</v>
      </c>
    </row>
    <row r="50" spans="2:11" ht="29" x14ac:dyDescent="0.35">
      <c r="B50" s="62" t="s">
        <v>463</v>
      </c>
      <c r="C50" s="63" t="s">
        <v>41</v>
      </c>
      <c r="D50" s="62" t="s">
        <v>26</v>
      </c>
      <c r="E50" s="23">
        <v>20</v>
      </c>
      <c r="F50" s="14">
        <f t="shared" si="4"/>
        <v>253.8</v>
      </c>
      <c r="G50" s="14">
        <f t="shared" si="6"/>
        <v>5076</v>
      </c>
      <c r="I50" s="52">
        <f>10*$I$1</f>
        <v>180</v>
      </c>
      <c r="J50" s="51">
        <f t="shared" si="5"/>
        <v>73.8</v>
      </c>
      <c r="K50" s="51">
        <f t="shared" si="7"/>
        <v>253.8</v>
      </c>
    </row>
    <row r="51" spans="2:11" ht="29" x14ac:dyDescent="0.35">
      <c r="B51" s="62" t="s">
        <v>464</v>
      </c>
      <c r="C51" s="63" t="s">
        <v>42</v>
      </c>
      <c r="D51" s="62" t="s">
        <v>26</v>
      </c>
      <c r="E51" s="23">
        <v>4</v>
      </c>
      <c r="F51" s="14">
        <f t="shared" si="4"/>
        <v>989.81999999999994</v>
      </c>
      <c r="G51" s="14">
        <f t="shared" si="6"/>
        <v>3959.2799999999997</v>
      </c>
      <c r="I51" s="52">
        <f>39*$I$1</f>
        <v>702</v>
      </c>
      <c r="J51" s="51">
        <f t="shared" si="5"/>
        <v>287.82</v>
      </c>
      <c r="K51" s="51">
        <f t="shared" si="7"/>
        <v>989.81999999999994</v>
      </c>
    </row>
    <row r="52" spans="2:11" ht="29" x14ac:dyDescent="0.35">
      <c r="B52" s="62" t="s">
        <v>465</v>
      </c>
      <c r="C52" s="63" t="s">
        <v>43</v>
      </c>
      <c r="D52" s="62" t="s">
        <v>26</v>
      </c>
      <c r="E52" s="23">
        <v>4</v>
      </c>
      <c r="F52" s="14">
        <f t="shared" si="4"/>
        <v>1167.48</v>
      </c>
      <c r="G52" s="14">
        <f t="shared" si="6"/>
        <v>4669.92</v>
      </c>
      <c r="I52" s="52">
        <f>46*$I$1</f>
        <v>828</v>
      </c>
      <c r="J52" s="51">
        <f t="shared" si="5"/>
        <v>339.47999999999996</v>
      </c>
      <c r="K52" s="51">
        <f t="shared" si="7"/>
        <v>1167.48</v>
      </c>
    </row>
    <row r="53" spans="2:11" ht="29" x14ac:dyDescent="0.35">
      <c r="B53" s="62" t="s">
        <v>466</v>
      </c>
      <c r="C53" s="63" t="s">
        <v>44</v>
      </c>
      <c r="D53" s="62" t="s">
        <v>26</v>
      </c>
      <c r="E53" s="23">
        <v>3</v>
      </c>
      <c r="F53" s="14">
        <f t="shared" si="4"/>
        <v>1446.6599999999999</v>
      </c>
      <c r="G53" s="14">
        <f t="shared" si="6"/>
        <v>4339.9799999999996</v>
      </c>
      <c r="I53" s="52">
        <f>57*$I$1</f>
        <v>1026</v>
      </c>
      <c r="J53" s="51">
        <f t="shared" si="5"/>
        <v>420.65999999999997</v>
      </c>
      <c r="K53" s="51">
        <f t="shared" si="7"/>
        <v>1446.6599999999999</v>
      </c>
    </row>
    <row r="54" spans="2:11" ht="29" x14ac:dyDescent="0.35">
      <c r="B54" s="62" t="s">
        <v>467</v>
      </c>
      <c r="C54" s="63" t="s">
        <v>387</v>
      </c>
      <c r="D54" s="62" t="s">
        <v>26</v>
      </c>
      <c r="E54" s="23">
        <v>3</v>
      </c>
      <c r="F54" s="14">
        <f t="shared" si="4"/>
        <v>12309.3</v>
      </c>
      <c r="G54" s="14">
        <f t="shared" si="6"/>
        <v>36927.899999999994</v>
      </c>
      <c r="I54" s="52">
        <f>485*$I$1</f>
        <v>8730</v>
      </c>
      <c r="J54" s="51">
        <f t="shared" si="5"/>
        <v>3579.2999999999997</v>
      </c>
      <c r="K54" s="51">
        <f t="shared" si="7"/>
        <v>12309.3</v>
      </c>
    </row>
    <row r="55" spans="2:11" ht="29" x14ac:dyDescent="0.35">
      <c r="B55" s="62" t="s">
        <v>468</v>
      </c>
      <c r="C55" s="63" t="s">
        <v>45</v>
      </c>
      <c r="D55" s="62" t="s">
        <v>26</v>
      </c>
      <c r="E55" s="23">
        <v>10</v>
      </c>
      <c r="F55" s="14">
        <f t="shared" si="4"/>
        <v>1928.88</v>
      </c>
      <c r="G55" s="14">
        <f t="shared" si="6"/>
        <v>19288.800000000003</v>
      </c>
      <c r="I55" s="52">
        <f>76*$I$1</f>
        <v>1368</v>
      </c>
      <c r="J55" s="51">
        <f t="shared" si="5"/>
        <v>560.88</v>
      </c>
      <c r="K55" s="51">
        <f t="shared" si="7"/>
        <v>1928.88</v>
      </c>
    </row>
    <row r="56" spans="2:11" x14ac:dyDescent="0.35">
      <c r="B56" s="62" t="s">
        <v>469</v>
      </c>
      <c r="C56" s="63" t="s">
        <v>46</v>
      </c>
      <c r="D56" s="62" t="s">
        <v>26</v>
      </c>
      <c r="E56" s="23">
        <v>4</v>
      </c>
      <c r="F56" s="14">
        <f t="shared" si="4"/>
        <v>1827.3600000000001</v>
      </c>
      <c r="G56" s="14">
        <f t="shared" si="6"/>
        <v>7309.4400000000005</v>
      </c>
      <c r="I56" s="52">
        <f>72*$I$1</f>
        <v>1296</v>
      </c>
      <c r="J56" s="51">
        <f t="shared" si="5"/>
        <v>531.36</v>
      </c>
      <c r="K56" s="51">
        <f t="shared" si="7"/>
        <v>1827.3600000000001</v>
      </c>
    </row>
    <row r="57" spans="2:11" x14ac:dyDescent="0.35">
      <c r="B57" s="62" t="s">
        <v>470</v>
      </c>
      <c r="C57" s="63" t="s">
        <v>33</v>
      </c>
      <c r="D57" s="62" t="s">
        <v>34</v>
      </c>
      <c r="E57" s="23">
        <v>2</v>
      </c>
      <c r="F57" s="14">
        <f t="shared" si="4"/>
        <v>6751.08</v>
      </c>
      <c r="G57" s="14">
        <f t="shared" si="6"/>
        <v>13502.16</v>
      </c>
      <c r="I57" s="52">
        <f>266*I1</f>
        <v>4788</v>
      </c>
      <c r="J57" s="51">
        <f t="shared" si="5"/>
        <v>1963.08</v>
      </c>
      <c r="K57" s="51">
        <f t="shared" si="7"/>
        <v>6751.08</v>
      </c>
    </row>
    <row r="58" spans="2:11" ht="29" x14ac:dyDescent="0.35">
      <c r="B58" s="62" t="s">
        <v>471</v>
      </c>
      <c r="C58" s="63" t="s">
        <v>35</v>
      </c>
      <c r="D58" s="62" t="s">
        <v>34</v>
      </c>
      <c r="E58" s="23">
        <v>4</v>
      </c>
      <c r="F58" s="14">
        <f t="shared" si="4"/>
        <v>8375.4</v>
      </c>
      <c r="G58" s="14">
        <f t="shared" si="6"/>
        <v>33501.599999999999</v>
      </c>
      <c r="I58" s="52">
        <f>330*I1</f>
        <v>5940</v>
      </c>
      <c r="J58" s="51">
        <f t="shared" si="5"/>
        <v>2435.3999999999996</v>
      </c>
      <c r="K58" s="51">
        <f t="shared" si="7"/>
        <v>8375.4</v>
      </c>
    </row>
    <row r="59" spans="2:11" x14ac:dyDescent="0.35">
      <c r="B59" s="62" t="s">
        <v>472</v>
      </c>
      <c r="C59" s="63" t="s">
        <v>388</v>
      </c>
      <c r="D59" s="62" t="s">
        <v>34</v>
      </c>
      <c r="E59" s="23">
        <v>10</v>
      </c>
      <c r="F59" s="14">
        <f t="shared" si="4"/>
        <v>6345</v>
      </c>
      <c r="G59" s="14">
        <f t="shared" si="6"/>
        <v>63450</v>
      </c>
      <c r="I59" s="52">
        <f>250*I1</f>
        <v>4500</v>
      </c>
      <c r="J59" s="51">
        <f t="shared" si="5"/>
        <v>1845</v>
      </c>
      <c r="K59" s="51">
        <f t="shared" si="7"/>
        <v>6345</v>
      </c>
    </row>
    <row r="60" spans="2:11" x14ac:dyDescent="0.35">
      <c r="B60" s="62" t="s">
        <v>473</v>
      </c>
      <c r="C60" s="63" t="s">
        <v>389</v>
      </c>
      <c r="D60" s="62" t="s">
        <v>34</v>
      </c>
      <c r="E60" s="23">
        <v>3</v>
      </c>
      <c r="F60" s="14">
        <f t="shared" si="4"/>
        <v>15278.759999999998</v>
      </c>
      <c r="G60" s="14">
        <f t="shared" si="6"/>
        <v>45836.28</v>
      </c>
      <c r="I60" s="52">
        <f>602*I1</f>
        <v>10836</v>
      </c>
      <c r="J60" s="51">
        <f t="shared" si="5"/>
        <v>4442.7599999999993</v>
      </c>
      <c r="K60" s="51">
        <f t="shared" si="7"/>
        <v>15278.759999999998</v>
      </c>
    </row>
    <row r="61" spans="2:11" x14ac:dyDescent="0.35">
      <c r="B61" s="62" t="s">
        <v>474</v>
      </c>
      <c r="C61" s="63" t="s">
        <v>36</v>
      </c>
      <c r="D61" s="62" t="s">
        <v>34</v>
      </c>
      <c r="E61" s="23">
        <v>2</v>
      </c>
      <c r="F61" s="14">
        <f t="shared" si="4"/>
        <v>8020.08</v>
      </c>
      <c r="G61" s="14">
        <f t="shared" si="6"/>
        <v>16040.16</v>
      </c>
      <c r="I61" s="52">
        <f>316*I1</f>
        <v>5688</v>
      </c>
      <c r="J61" s="51">
        <f t="shared" si="5"/>
        <v>2332.08</v>
      </c>
      <c r="K61" s="51">
        <f t="shared" si="7"/>
        <v>8020.08</v>
      </c>
    </row>
    <row r="62" spans="2:11" x14ac:dyDescent="0.35">
      <c r="B62" s="62" t="s">
        <v>475</v>
      </c>
      <c r="C62" s="63" t="s">
        <v>37</v>
      </c>
      <c r="D62" s="62" t="s">
        <v>34</v>
      </c>
      <c r="E62" s="23">
        <v>2</v>
      </c>
      <c r="F62" s="14">
        <f t="shared" si="4"/>
        <v>16547.759999999998</v>
      </c>
      <c r="G62" s="14">
        <f t="shared" ref="G62" si="11">E62*F62</f>
        <v>33095.519999999997</v>
      </c>
      <c r="I62" s="52">
        <f>652*I1</f>
        <v>11736</v>
      </c>
      <c r="J62" s="51">
        <f t="shared" si="5"/>
        <v>4811.7599999999993</v>
      </c>
      <c r="K62" s="51">
        <f>I62+J62</f>
        <v>16547.759999999998</v>
      </c>
    </row>
    <row r="63" spans="2:11" ht="29" x14ac:dyDescent="0.35">
      <c r="B63" s="62" t="s">
        <v>476</v>
      </c>
      <c r="C63" s="63" t="s">
        <v>238</v>
      </c>
      <c r="D63" s="62" t="s">
        <v>34</v>
      </c>
      <c r="E63" s="23">
        <v>3</v>
      </c>
      <c r="F63" s="14">
        <f t="shared" si="4"/>
        <v>39339</v>
      </c>
      <c r="G63" s="14">
        <f t="shared" ref="G63" si="12">E63*F63</f>
        <v>118017</v>
      </c>
      <c r="I63" s="52">
        <f>1550*I1</f>
        <v>27900</v>
      </c>
      <c r="J63" s="51">
        <f t="shared" si="5"/>
        <v>11439</v>
      </c>
      <c r="K63" s="51">
        <f>I63+J63</f>
        <v>39339</v>
      </c>
    </row>
    <row r="64" spans="2:11" x14ac:dyDescent="0.35">
      <c r="B64" s="114"/>
      <c r="C64" s="115"/>
      <c r="D64" s="116"/>
      <c r="E64" s="22"/>
      <c r="F64" s="22"/>
      <c r="G64" s="22"/>
      <c r="J64" s="118"/>
      <c r="K64" s="118"/>
    </row>
    <row r="65" spans="2:15" ht="15.5" x14ac:dyDescent="0.35">
      <c r="B65" s="234" t="s">
        <v>368</v>
      </c>
      <c r="C65" s="234"/>
      <c r="D65" s="234"/>
      <c r="E65" s="234"/>
      <c r="F65" s="234"/>
      <c r="G65" s="234"/>
      <c r="J65" s="46"/>
      <c r="K65" s="46"/>
    </row>
    <row r="66" spans="2:15" ht="35.25" customHeight="1" x14ac:dyDescent="0.35">
      <c r="B66" s="153" t="s">
        <v>635</v>
      </c>
      <c r="C66" s="233" t="s">
        <v>478</v>
      </c>
      <c r="D66" s="233"/>
      <c r="E66" s="233"/>
      <c r="F66" s="233"/>
      <c r="G66" s="233"/>
      <c r="K66" s="46"/>
      <c r="M66" s="175"/>
      <c r="N66" s="174"/>
      <c r="O66" s="174"/>
    </row>
    <row r="67" spans="2:15" ht="35.25" customHeight="1" x14ac:dyDescent="0.35">
      <c r="B67" s="151" t="s">
        <v>259</v>
      </c>
      <c r="C67" s="151" t="s">
        <v>2</v>
      </c>
      <c r="D67" s="151" t="s">
        <v>3</v>
      </c>
      <c r="E67" s="151" t="s">
        <v>4</v>
      </c>
      <c r="F67" s="159" t="s">
        <v>72</v>
      </c>
      <c r="G67" s="159" t="s">
        <v>5</v>
      </c>
      <c r="K67" s="46"/>
      <c r="M67" s="175"/>
      <c r="N67" s="174"/>
      <c r="O67" s="174"/>
    </row>
    <row r="68" spans="2:15" ht="29" x14ac:dyDescent="0.35">
      <c r="B68" s="151">
        <v>2</v>
      </c>
      <c r="C68" s="156" t="s">
        <v>584</v>
      </c>
      <c r="D68" s="11" t="s">
        <v>26</v>
      </c>
      <c r="E68" s="62">
        <v>1</v>
      </c>
      <c r="F68" s="158">
        <f>SUM(G69:G102)</f>
        <v>799426.00800000003</v>
      </c>
      <c r="G68" s="158">
        <f>E68*F68</f>
        <v>799426.00800000003</v>
      </c>
      <c r="H68" s="46"/>
      <c r="K68" s="46"/>
      <c r="L68" s="46">
        <f>SUM(K69:K104)</f>
        <v>250635.53700000001</v>
      </c>
      <c r="M68" s="175"/>
      <c r="N68" s="174"/>
      <c r="O68" s="174"/>
    </row>
    <row r="69" spans="2:15" ht="29" x14ac:dyDescent="0.35">
      <c r="B69" s="11" t="s">
        <v>9</v>
      </c>
      <c r="C69" s="10" t="str">
        <f t="shared" ref="C69:C102" si="13">"Suministro de mano de obra para la instlacion y puesta en marcha de "&amp;C30</f>
        <v>Suministro de mano de obra para la instlacion y puesta en marcha de Software gestión mantenimiento CAFM</v>
      </c>
      <c r="D69" s="11" t="str">
        <f t="shared" ref="D69:E88" si="14">D30</f>
        <v>un</v>
      </c>
      <c r="E69" s="62">
        <f t="shared" si="14"/>
        <v>12</v>
      </c>
      <c r="F69" s="14">
        <f t="shared" ref="F69:F102" si="15">K69</f>
        <v>27495</v>
      </c>
      <c r="G69" s="14">
        <f>E69*F69</f>
        <v>329940</v>
      </c>
      <c r="I69" s="52">
        <f t="shared" ref="I69:I102" si="16">I30*0.3</f>
        <v>19500</v>
      </c>
      <c r="J69" s="51">
        <f t="shared" ref="J69:J102" si="17">I69*$I$2</f>
        <v>7994.9999999999991</v>
      </c>
      <c r="K69" s="51">
        <f>I69+J69</f>
        <v>27495</v>
      </c>
      <c r="M69" s="179" t="s">
        <v>591</v>
      </c>
      <c r="N69" s="176" t="s">
        <v>592</v>
      </c>
      <c r="O69" s="176" t="s">
        <v>593</v>
      </c>
    </row>
    <row r="70" spans="2:15" ht="43.5" x14ac:dyDescent="0.35">
      <c r="B70" s="11" t="s">
        <v>10</v>
      </c>
      <c r="C70" s="10" t="str">
        <f t="shared" si="13"/>
        <v>Suministro de mano de obra para la instlacion y puesta en marcha de Interruptor NSX 160 con modulo Vigi y protección electrónica Micrologig 5.2E</v>
      </c>
      <c r="D70" s="11" t="str">
        <f t="shared" si="14"/>
        <v>un</v>
      </c>
      <c r="E70" s="62">
        <f t="shared" si="14"/>
        <v>2</v>
      </c>
      <c r="F70" s="14">
        <f t="shared" si="15"/>
        <v>9136.7999999999993</v>
      </c>
      <c r="G70" s="14">
        <f t="shared" ref="G70:G136" si="18">E70*F70</f>
        <v>18273.599999999999</v>
      </c>
      <c r="I70" s="52">
        <f t="shared" si="16"/>
        <v>6480</v>
      </c>
      <c r="J70" s="51">
        <f t="shared" si="17"/>
        <v>2656.7999999999997</v>
      </c>
      <c r="K70" s="51">
        <f t="shared" ref="K70:K100" si="19">I70+J70</f>
        <v>9136.7999999999993</v>
      </c>
      <c r="M70" s="179" t="s">
        <v>594</v>
      </c>
      <c r="N70" s="176" t="s">
        <v>595</v>
      </c>
      <c r="O70" s="176" t="s">
        <v>596</v>
      </c>
    </row>
    <row r="71" spans="2:15" ht="43.5" x14ac:dyDescent="0.35">
      <c r="B71" s="11" t="s">
        <v>11</v>
      </c>
      <c r="C71" s="10" t="str">
        <f t="shared" si="13"/>
        <v>Suministro de mano de obra para la instlacion y puesta en marcha de Interruptor NSX 250 con modulo Vigi y protección electrónica Micrologig 5.2E</v>
      </c>
      <c r="D71" s="11" t="str">
        <f t="shared" si="14"/>
        <v>un</v>
      </c>
      <c r="E71" s="62">
        <f t="shared" si="14"/>
        <v>2</v>
      </c>
      <c r="F71" s="14">
        <f t="shared" si="15"/>
        <v>11421</v>
      </c>
      <c r="G71" s="14">
        <f t="shared" si="18"/>
        <v>22842</v>
      </c>
      <c r="I71" s="52">
        <f t="shared" si="16"/>
        <v>8100</v>
      </c>
      <c r="J71" s="51">
        <f t="shared" si="17"/>
        <v>3321</v>
      </c>
      <c r="K71" s="51">
        <f t="shared" si="19"/>
        <v>11421</v>
      </c>
      <c r="M71" s="179" t="s">
        <v>594</v>
      </c>
      <c r="N71" s="176" t="s">
        <v>595</v>
      </c>
      <c r="O71" s="176" t="s">
        <v>596</v>
      </c>
    </row>
    <row r="72" spans="2:15" ht="43.5" x14ac:dyDescent="0.35">
      <c r="B72" s="11" t="s">
        <v>637</v>
      </c>
      <c r="C72" s="10" t="str">
        <f t="shared" si="13"/>
        <v>Suministro de mano de obra para la instlacion y puesta en marcha de Interruptor NSX 630 con modulo Vigi y protección electrónica Micrologig 5.2E</v>
      </c>
      <c r="D72" s="11" t="str">
        <f t="shared" si="14"/>
        <v>un</v>
      </c>
      <c r="E72" s="62">
        <f t="shared" si="14"/>
        <v>2</v>
      </c>
      <c r="F72" s="14">
        <f t="shared" si="15"/>
        <v>15989.4</v>
      </c>
      <c r="G72" s="14">
        <f t="shared" si="18"/>
        <v>31978.799999999999</v>
      </c>
      <c r="I72" s="52">
        <f t="shared" si="16"/>
        <v>11340</v>
      </c>
      <c r="J72" s="51">
        <f t="shared" si="17"/>
        <v>4649.3999999999996</v>
      </c>
      <c r="K72" s="51">
        <f t="shared" si="19"/>
        <v>15989.4</v>
      </c>
      <c r="M72" s="179" t="s">
        <v>594</v>
      </c>
      <c r="N72" s="176" t="s">
        <v>595</v>
      </c>
      <c r="O72" s="176" t="s">
        <v>596</v>
      </c>
    </row>
    <row r="73" spans="2:15" ht="29" x14ac:dyDescent="0.35">
      <c r="B73" s="11" t="s">
        <v>638</v>
      </c>
      <c r="C73" s="10" t="str">
        <f t="shared" si="13"/>
        <v>Suministro de mano de obra para la instlacion y puesta en marcha de Juego de Polipack hasta 250 A</v>
      </c>
      <c r="D73" s="11" t="str">
        <f t="shared" si="14"/>
        <v>un</v>
      </c>
      <c r="E73" s="62">
        <f t="shared" si="14"/>
        <v>3</v>
      </c>
      <c r="F73" s="14">
        <f t="shared" si="15"/>
        <v>2893.3199999999997</v>
      </c>
      <c r="G73" s="14">
        <f t="shared" si="18"/>
        <v>8679.9599999999991</v>
      </c>
      <c r="I73" s="52">
        <f t="shared" si="16"/>
        <v>2052</v>
      </c>
      <c r="J73" s="51">
        <f t="shared" si="17"/>
        <v>841.31999999999994</v>
      </c>
      <c r="K73" s="51">
        <f t="shared" si="19"/>
        <v>2893.3199999999997</v>
      </c>
      <c r="M73" s="179" t="s">
        <v>597</v>
      </c>
      <c r="N73" s="176" t="s">
        <v>598</v>
      </c>
      <c r="O73" s="176" t="s">
        <v>596</v>
      </c>
    </row>
    <row r="74" spans="2:15" ht="29" x14ac:dyDescent="0.35">
      <c r="B74" s="11" t="s">
        <v>639</v>
      </c>
      <c r="C74" s="10" t="str">
        <f t="shared" si="13"/>
        <v>Suministro de mano de obra para la instlacion y puesta en marcha de Contactor LC 125 A, con modulo 2 Na+2 Nc</v>
      </c>
      <c r="D74" s="11" t="str">
        <f t="shared" si="14"/>
        <v>un</v>
      </c>
      <c r="E74" s="62">
        <f t="shared" si="14"/>
        <v>5</v>
      </c>
      <c r="F74" s="14">
        <f t="shared" si="15"/>
        <v>3692.79</v>
      </c>
      <c r="G74" s="14">
        <f t="shared" si="18"/>
        <v>18463.95</v>
      </c>
      <c r="I74" s="52">
        <f t="shared" si="16"/>
        <v>2619</v>
      </c>
      <c r="J74" s="51">
        <f t="shared" si="17"/>
        <v>1073.79</v>
      </c>
      <c r="K74" s="51">
        <f t="shared" si="19"/>
        <v>3692.79</v>
      </c>
      <c r="M74" s="179" t="s">
        <v>594</v>
      </c>
      <c r="N74" s="176" t="s">
        <v>595</v>
      </c>
      <c r="O74" s="176" t="s">
        <v>596</v>
      </c>
    </row>
    <row r="75" spans="2:15" ht="29" x14ac:dyDescent="0.35">
      <c r="B75" s="11" t="s">
        <v>640</v>
      </c>
      <c r="C75" s="10" t="str">
        <f t="shared" si="13"/>
        <v>Suministro de mano de obra para la instlacion y puesta en marcha de Contactor LC 160 A, con modulo 2 Na+2 Nc</v>
      </c>
      <c r="D75" s="11" t="str">
        <f t="shared" si="14"/>
        <v>un</v>
      </c>
      <c r="E75" s="62">
        <f t="shared" si="14"/>
        <v>5</v>
      </c>
      <c r="F75" s="14">
        <f t="shared" si="15"/>
        <v>4758.75</v>
      </c>
      <c r="G75" s="14">
        <f t="shared" si="18"/>
        <v>23793.75</v>
      </c>
      <c r="I75" s="52">
        <f t="shared" si="16"/>
        <v>3375</v>
      </c>
      <c r="J75" s="51">
        <f t="shared" si="17"/>
        <v>1383.75</v>
      </c>
      <c r="K75" s="51">
        <f t="shared" si="19"/>
        <v>4758.75</v>
      </c>
      <c r="M75" s="179" t="s">
        <v>594</v>
      </c>
      <c r="N75" s="176" t="s">
        <v>595</v>
      </c>
      <c r="O75" s="176" t="s">
        <v>596</v>
      </c>
    </row>
    <row r="76" spans="2:15" ht="29" x14ac:dyDescent="0.35">
      <c r="B76" s="11" t="s">
        <v>641</v>
      </c>
      <c r="C76" s="10" t="str">
        <f t="shared" si="13"/>
        <v>Suministro de mano de obra para la instlacion y puesta en marcha de Switch Poe WS-C2960-24PS-L</v>
      </c>
      <c r="D76" s="11" t="str">
        <f t="shared" si="14"/>
        <v>un</v>
      </c>
      <c r="E76" s="62">
        <f t="shared" si="14"/>
        <v>1</v>
      </c>
      <c r="F76" s="14">
        <f t="shared" si="15"/>
        <v>47206.8</v>
      </c>
      <c r="G76" s="14">
        <f t="shared" si="18"/>
        <v>47206.8</v>
      </c>
      <c r="I76" s="52">
        <f t="shared" si="16"/>
        <v>33480</v>
      </c>
      <c r="J76" s="51">
        <f t="shared" si="17"/>
        <v>13726.8</v>
      </c>
      <c r="K76" s="51">
        <f t="shared" si="19"/>
        <v>47206.8</v>
      </c>
      <c r="M76" s="179" t="s">
        <v>591</v>
      </c>
      <c r="N76" s="176" t="s">
        <v>592</v>
      </c>
      <c r="O76" s="176" t="s">
        <v>593</v>
      </c>
    </row>
    <row r="77" spans="2:15" ht="29" x14ac:dyDescent="0.35">
      <c r="B77" s="11" t="s">
        <v>642</v>
      </c>
      <c r="C77" s="10" t="str">
        <f t="shared" si="13"/>
        <v>Suministro de mano de obra para la instlacion y puesta en marcha de Resistencia Termotanque 300 lts</v>
      </c>
      <c r="D77" s="11" t="str">
        <f t="shared" si="14"/>
        <v>un</v>
      </c>
      <c r="E77" s="62">
        <f t="shared" si="14"/>
        <v>2</v>
      </c>
      <c r="F77" s="14">
        <f t="shared" si="15"/>
        <v>3299.4</v>
      </c>
      <c r="G77" s="14">
        <f t="shared" si="18"/>
        <v>6598.8</v>
      </c>
      <c r="I77" s="52">
        <f t="shared" si="16"/>
        <v>2340</v>
      </c>
      <c r="J77" s="51">
        <f t="shared" si="17"/>
        <v>959.4</v>
      </c>
      <c r="K77" s="51">
        <f t="shared" si="19"/>
        <v>3299.4</v>
      </c>
      <c r="M77" s="179" t="s">
        <v>599</v>
      </c>
      <c r="N77" s="176" t="s">
        <v>600</v>
      </c>
      <c r="O77" s="176" t="s">
        <v>593</v>
      </c>
    </row>
    <row r="78" spans="2:15" ht="29" x14ac:dyDescent="0.35">
      <c r="B78" s="11" t="s">
        <v>643</v>
      </c>
      <c r="C78" s="10" t="str">
        <f t="shared" si="13"/>
        <v>Suministro de mano de obra para la instlacion y puesta en marcha de Ánodo de sacrificio Termo Tanque de 300 lts</v>
      </c>
      <c r="D78" s="11" t="str">
        <f t="shared" si="14"/>
        <v>un</v>
      </c>
      <c r="E78" s="62">
        <f t="shared" si="14"/>
        <v>2</v>
      </c>
      <c r="F78" s="14">
        <f t="shared" si="15"/>
        <v>1438.2</v>
      </c>
      <c r="G78" s="14">
        <f t="shared" si="18"/>
        <v>2876.4</v>
      </c>
      <c r="I78" s="52">
        <f t="shared" si="16"/>
        <v>1020</v>
      </c>
      <c r="J78" s="51">
        <f t="shared" si="17"/>
        <v>418.2</v>
      </c>
      <c r="K78" s="51">
        <f t="shared" si="19"/>
        <v>1438.2</v>
      </c>
      <c r="M78" s="179" t="s">
        <v>599</v>
      </c>
      <c r="N78" s="176" t="s">
        <v>600</v>
      </c>
      <c r="O78" s="176" t="s">
        <v>593</v>
      </c>
    </row>
    <row r="79" spans="2:15" ht="29" x14ac:dyDescent="0.35">
      <c r="B79" s="11" t="s">
        <v>644</v>
      </c>
      <c r="C79" s="10" t="str">
        <f t="shared" si="13"/>
        <v>Suministro de mano de obra para la instlacion y puesta en marcha de Kit reparación Evaporadora Mitsubishi - 210-150</v>
      </c>
      <c r="D79" s="11" t="str">
        <f t="shared" si="14"/>
        <v>un</v>
      </c>
      <c r="E79" s="62">
        <f t="shared" si="14"/>
        <v>5</v>
      </c>
      <c r="F79" s="14">
        <f t="shared" si="15"/>
        <v>5245.2</v>
      </c>
      <c r="G79" s="14">
        <f t="shared" si="18"/>
        <v>26226</v>
      </c>
      <c r="I79" s="52">
        <f t="shared" si="16"/>
        <v>3720</v>
      </c>
      <c r="J79" s="51">
        <f t="shared" si="17"/>
        <v>1525.1999999999998</v>
      </c>
      <c r="K79" s="51">
        <f t="shared" si="19"/>
        <v>5245.2</v>
      </c>
      <c r="M79" s="179" t="s">
        <v>601</v>
      </c>
      <c r="N79" s="176" t="s">
        <v>602</v>
      </c>
      <c r="O79" s="176" t="s">
        <v>596</v>
      </c>
    </row>
    <row r="80" spans="2:15" ht="29" x14ac:dyDescent="0.35">
      <c r="B80" s="11" t="s">
        <v>645</v>
      </c>
      <c r="C80" s="10" t="str">
        <f t="shared" si="13"/>
        <v>Suministro de mano de obra para la instlacion y puesta en marcha de Kit reparación Condensadora Mitsubishi - 210-150</v>
      </c>
      <c r="D80" s="11" t="str">
        <f t="shared" si="14"/>
        <v>un</v>
      </c>
      <c r="E80" s="62">
        <f t="shared" si="14"/>
        <v>2</v>
      </c>
      <c r="F80" s="14">
        <f t="shared" si="15"/>
        <v>13739.463</v>
      </c>
      <c r="G80" s="14">
        <f t="shared" si="18"/>
        <v>27478.925999999999</v>
      </c>
      <c r="I80" s="52">
        <f t="shared" si="16"/>
        <v>9744.2999999999993</v>
      </c>
      <c r="J80" s="51">
        <f t="shared" si="17"/>
        <v>3995.1629999999996</v>
      </c>
      <c r="K80" s="51">
        <f t="shared" si="19"/>
        <v>13739.463</v>
      </c>
      <c r="M80" s="179" t="s">
        <v>601</v>
      </c>
      <c r="N80" s="176" t="s">
        <v>602</v>
      </c>
      <c r="O80" s="176" t="s">
        <v>596</v>
      </c>
    </row>
    <row r="81" spans="2:15" ht="29" x14ac:dyDescent="0.35">
      <c r="B81" s="11" t="s">
        <v>646</v>
      </c>
      <c r="C81" s="10" t="str">
        <f t="shared" si="13"/>
        <v>Suministro de mano de obra para la instlacion y puesta en marcha de BMS Server automación SXW AUTOMATION SERVER - P</v>
      </c>
      <c r="D81" s="11" t="str">
        <f t="shared" si="14"/>
        <v>un</v>
      </c>
      <c r="E81" s="62">
        <f t="shared" si="14"/>
        <v>1</v>
      </c>
      <c r="F81" s="14">
        <f t="shared" si="15"/>
        <v>36547.199999999997</v>
      </c>
      <c r="G81" s="14">
        <f t="shared" si="18"/>
        <v>36547.199999999997</v>
      </c>
      <c r="I81" s="52">
        <f t="shared" si="16"/>
        <v>25920</v>
      </c>
      <c r="J81" s="51">
        <f t="shared" si="17"/>
        <v>10627.199999999999</v>
      </c>
      <c r="K81" s="51">
        <f t="shared" si="19"/>
        <v>36547.199999999997</v>
      </c>
      <c r="M81" s="179" t="s">
        <v>591</v>
      </c>
      <c r="N81" s="176" t="s">
        <v>592</v>
      </c>
      <c r="O81" s="176" t="s">
        <v>593</v>
      </c>
    </row>
    <row r="82" spans="2:15" ht="29" x14ac:dyDescent="0.35">
      <c r="B82" s="11" t="s">
        <v>647</v>
      </c>
      <c r="C82" s="10" t="str">
        <f t="shared" si="13"/>
        <v>Suministro de mano de obra para la instlacion y puesta en marcha de BMS SXW MODULO BASE AUT. SERVER P - AS-P</v>
      </c>
      <c r="D82" s="11" t="str">
        <f t="shared" si="14"/>
        <v>un</v>
      </c>
      <c r="E82" s="62">
        <f t="shared" si="14"/>
        <v>3</v>
      </c>
      <c r="F82" s="14">
        <f t="shared" si="15"/>
        <v>1142.0999999999999</v>
      </c>
      <c r="G82" s="14">
        <f t="shared" si="18"/>
        <v>3426.2999999999997</v>
      </c>
      <c r="I82" s="52">
        <f t="shared" si="16"/>
        <v>810</v>
      </c>
      <c r="J82" s="51">
        <f t="shared" si="17"/>
        <v>332.09999999999997</v>
      </c>
      <c r="K82" s="51">
        <f t="shared" si="19"/>
        <v>1142.0999999999999</v>
      </c>
      <c r="M82" s="179" t="s">
        <v>591</v>
      </c>
      <c r="N82" s="176" t="s">
        <v>592</v>
      </c>
      <c r="O82" s="176" t="s">
        <v>593</v>
      </c>
    </row>
    <row r="83" spans="2:15" ht="29" x14ac:dyDescent="0.35">
      <c r="B83" s="11" t="s">
        <v>648</v>
      </c>
      <c r="C83" s="185" t="str">
        <f t="shared" si="13"/>
        <v>Suministro de mano de obra para la instlacion y puesta en marcha de BMS Modulo FUENTE ALIMENTACION PS-24V para AS-P</v>
      </c>
      <c r="D83" s="186" t="str">
        <f t="shared" si="14"/>
        <v>un</v>
      </c>
      <c r="E83" s="187">
        <f t="shared" si="14"/>
        <v>3</v>
      </c>
      <c r="F83" s="188">
        <f t="shared" si="15"/>
        <v>3121.74</v>
      </c>
      <c r="G83" s="188">
        <f t="shared" si="18"/>
        <v>9365.2199999999993</v>
      </c>
      <c r="H83" s="189"/>
      <c r="I83" s="190">
        <f t="shared" si="16"/>
        <v>2214</v>
      </c>
      <c r="J83" s="191">
        <f t="shared" si="17"/>
        <v>907.7399999999999</v>
      </c>
      <c r="K83" s="191">
        <f t="shared" si="19"/>
        <v>3121.74</v>
      </c>
      <c r="L83" s="189"/>
      <c r="M83" s="192" t="s">
        <v>591</v>
      </c>
      <c r="N83" s="172" t="s">
        <v>592</v>
      </c>
      <c r="O83" s="176" t="s">
        <v>593</v>
      </c>
    </row>
    <row r="84" spans="2:15" ht="29" x14ac:dyDescent="0.35">
      <c r="B84" s="11" t="s">
        <v>649</v>
      </c>
      <c r="C84" s="185" t="str">
        <f t="shared" si="13"/>
        <v>Suministro de mano de obra para la instlacion y puesta en marcha de BMS BASE PARA FUENTE PS-24V</v>
      </c>
      <c r="D84" s="186" t="str">
        <f t="shared" si="14"/>
        <v>un</v>
      </c>
      <c r="E84" s="187">
        <f t="shared" si="14"/>
        <v>3</v>
      </c>
      <c r="F84" s="188">
        <f t="shared" si="15"/>
        <v>1332.45</v>
      </c>
      <c r="G84" s="188">
        <f t="shared" si="18"/>
        <v>3997.3500000000004</v>
      </c>
      <c r="H84" s="189"/>
      <c r="I84" s="190">
        <f t="shared" si="16"/>
        <v>945</v>
      </c>
      <c r="J84" s="191">
        <f t="shared" si="17"/>
        <v>387.45</v>
      </c>
      <c r="K84" s="191">
        <f t="shared" si="19"/>
        <v>1332.45</v>
      </c>
      <c r="L84" s="189"/>
      <c r="M84" s="192" t="s">
        <v>591</v>
      </c>
      <c r="N84" s="172" t="s">
        <v>592</v>
      </c>
      <c r="O84" s="176" t="s">
        <v>593</v>
      </c>
    </row>
    <row r="85" spans="2:15" ht="29" x14ac:dyDescent="0.35">
      <c r="B85" s="11" t="s">
        <v>650</v>
      </c>
      <c r="C85" s="185" t="str">
        <f t="shared" si="13"/>
        <v>Suministro de mano de obra para la instlacion y puesta en marcha de BMS - B3624 CONTROLADOR BACNET 24 EU</v>
      </c>
      <c r="D85" s="186" t="str">
        <f t="shared" si="14"/>
        <v>un</v>
      </c>
      <c r="E85" s="187">
        <f t="shared" si="14"/>
        <v>2</v>
      </c>
      <c r="F85" s="188">
        <f t="shared" si="15"/>
        <v>10888.02</v>
      </c>
      <c r="G85" s="188">
        <f t="shared" si="18"/>
        <v>21776.04</v>
      </c>
      <c r="H85" s="189"/>
      <c r="I85" s="190">
        <f t="shared" si="16"/>
        <v>7722</v>
      </c>
      <c r="J85" s="191">
        <f t="shared" si="17"/>
        <v>3166.02</v>
      </c>
      <c r="K85" s="191">
        <f t="shared" si="19"/>
        <v>10888.02</v>
      </c>
      <c r="L85" s="189"/>
      <c r="M85" s="192" t="s">
        <v>591</v>
      </c>
      <c r="N85" s="172" t="s">
        <v>592</v>
      </c>
      <c r="O85" s="176" t="s">
        <v>593</v>
      </c>
    </row>
    <row r="86" spans="2:15" ht="29" x14ac:dyDescent="0.35">
      <c r="B86" s="11" t="s">
        <v>651</v>
      </c>
      <c r="C86" s="185" t="str">
        <f t="shared" si="13"/>
        <v>Suministro de mano de obra para la instlacion y puesta en marcha de BMS - B3800 CONTROLADOR BACNET 16 E/S 8EU 8SD</v>
      </c>
      <c r="D86" s="186" t="str">
        <f t="shared" si="14"/>
        <v>un</v>
      </c>
      <c r="E86" s="187">
        <f t="shared" si="14"/>
        <v>2</v>
      </c>
      <c r="F86" s="188">
        <f t="shared" si="15"/>
        <v>14085.9</v>
      </c>
      <c r="G86" s="188">
        <f t="shared" si="18"/>
        <v>28171.8</v>
      </c>
      <c r="H86" s="189"/>
      <c r="I86" s="190">
        <f t="shared" si="16"/>
        <v>9990</v>
      </c>
      <c r="J86" s="191">
        <f t="shared" si="17"/>
        <v>4095.8999999999996</v>
      </c>
      <c r="K86" s="191">
        <f t="shared" si="19"/>
        <v>14085.9</v>
      </c>
      <c r="L86" s="189"/>
      <c r="M86" s="192" t="s">
        <v>591</v>
      </c>
      <c r="N86" s="172" t="s">
        <v>592</v>
      </c>
      <c r="O86" s="176" t="s">
        <v>593</v>
      </c>
    </row>
    <row r="87" spans="2:15" ht="29" x14ac:dyDescent="0.35">
      <c r="B87" s="11" t="s">
        <v>652</v>
      </c>
      <c r="C87" s="185" t="str">
        <f t="shared" si="13"/>
        <v>Suministro de mano de obra para la instlacion y puesta en marcha de Detector térmico direccionable y analógico FST-851R</v>
      </c>
      <c r="D87" s="186" t="str">
        <f t="shared" si="14"/>
        <v>un</v>
      </c>
      <c r="E87" s="187">
        <f t="shared" si="14"/>
        <v>10</v>
      </c>
      <c r="F87" s="188">
        <f t="shared" si="15"/>
        <v>365.47199999999998</v>
      </c>
      <c r="G87" s="188">
        <f t="shared" si="18"/>
        <v>3654.72</v>
      </c>
      <c r="H87" s="189"/>
      <c r="I87" s="190">
        <f t="shared" si="16"/>
        <v>259.2</v>
      </c>
      <c r="J87" s="191">
        <f t="shared" si="17"/>
        <v>106.27199999999999</v>
      </c>
      <c r="K87" s="191">
        <f t="shared" si="19"/>
        <v>365.47199999999998</v>
      </c>
      <c r="L87" s="189"/>
      <c r="M87" s="192" t="s">
        <v>599</v>
      </c>
      <c r="N87" s="172" t="s">
        <v>600</v>
      </c>
      <c r="O87" s="176" t="s">
        <v>593</v>
      </c>
    </row>
    <row r="88" spans="2:15" ht="43.5" x14ac:dyDescent="0.35">
      <c r="B88" s="11" t="s">
        <v>653</v>
      </c>
      <c r="C88" s="185" t="str">
        <f t="shared" si="13"/>
        <v>Suministro de mano de obra para la instlacion y puesta en marcha de Detector algorítmico de doble tecnología (óptico/térmico) Acclimate direccionable y analógico de bajo perfil FAPT-851</v>
      </c>
      <c r="D88" s="186" t="str">
        <f t="shared" si="14"/>
        <v>un</v>
      </c>
      <c r="E88" s="187">
        <f t="shared" si="14"/>
        <v>10</v>
      </c>
      <c r="F88" s="188">
        <f t="shared" si="15"/>
        <v>662.41799999999989</v>
      </c>
      <c r="G88" s="188">
        <f t="shared" si="18"/>
        <v>6624.1799999999985</v>
      </c>
      <c r="H88" s="189"/>
      <c r="I88" s="190">
        <f t="shared" si="16"/>
        <v>469.79999999999995</v>
      </c>
      <c r="J88" s="191">
        <f t="shared" si="17"/>
        <v>192.61799999999997</v>
      </c>
      <c r="K88" s="191">
        <f t="shared" si="19"/>
        <v>662.41799999999989</v>
      </c>
      <c r="L88" s="189"/>
      <c r="M88" s="192" t="s">
        <v>599</v>
      </c>
      <c r="N88" s="172" t="s">
        <v>600</v>
      </c>
      <c r="O88" s="176" t="s">
        <v>593</v>
      </c>
    </row>
    <row r="89" spans="2:15" ht="43.5" x14ac:dyDescent="0.35">
      <c r="B89" s="11" t="s">
        <v>654</v>
      </c>
      <c r="C89" s="185" t="str">
        <f t="shared" si="13"/>
        <v>Suministro de mano de obra para la instlacion y puesta en marcha de Base universal p/detectores direccionables y analógicos de bajo perfil. B-501</v>
      </c>
      <c r="D89" s="186" t="str">
        <f t="shared" ref="D89:E102" si="20">D50</f>
        <v>un</v>
      </c>
      <c r="E89" s="187">
        <f t="shared" si="20"/>
        <v>20</v>
      </c>
      <c r="F89" s="188">
        <f t="shared" si="15"/>
        <v>76.14</v>
      </c>
      <c r="G89" s="188">
        <f t="shared" si="18"/>
        <v>1522.8</v>
      </c>
      <c r="H89" s="189"/>
      <c r="I89" s="190">
        <f t="shared" si="16"/>
        <v>54</v>
      </c>
      <c r="J89" s="191">
        <f t="shared" si="17"/>
        <v>22.139999999999997</v>
      </c>
      <c r="K89" s="191">
        <f t="shared" si="19"/>
        <v>76.14</v>
      </c>
      <c r="L89" s="189"/>
      <c r="M89" s="192" t="s">
        <v>599</v>
      </c>
      <c r="N89" s="172" t="s">
        <v>600</v>
      </c>
      <c r="O89" s="176" t="s">
        <v>593</v>
      </c>
    </row>
    <row r="90" spans="2:15" ht="43.5" x14ac:dyDescent="0.35">
      <c r="B90" s="11" t="s">
        <v>655</v>
      </c>
      <c r="C90" s="185" t="str">
        <f t="shared" si="13"/>
        <v>Suministro de mano de obra para la instlacion y puesta en marcha de  Avisador manual de doble acción c/registro de operación. NBG-12LSP</v>
      </c>
      <c r="D90" s="186" t="str">
        <f t="shared" si="20"/>
        <v>un</v>
      </c>
      <c r="E90" s="187">
        <f t="shared" si="20"/>
        <v>4</v>
      </c>
      <c r="F90" s="188">
        <f t="shared" si="15"/>
        <v>296.94599999999997</v>
      </c>
      <c r="G90" s="188">
        <f t="shared" si="18"/>
        <v>1187.7839999999999</v>
      </c>
      <c r="H90" s="189"/>
      <c r="I90" s="190">
        <f t="shared" si="16"/>
        <v>210.6</v>
      </c>
      <c r="J90" s="191">
        <f t="shared" si="17"/>
        <v>86.345999999999989</v>
      </c>
      <c r="K90" s="191">
        <f t="shared" si="19"/>
        <v>296.94599999999997</v>
      </c>
      <c r="L90" s="189"/>
      <c r="M90" s="192" t="s">
        <v>599</v>
      </c>
      <c r="N90" s="172" t="s">
        <v>600</v>
      </c>
      <c r="O90" s="176" t="s">
        <v>593</v>
      </c>
    </row>
    <row r="91" spans="2:15" ht="43.5" x14ac:dyDescent="0.35">
      <c r="B91" s="11" t="s">
        <v>656</v>
      </c>
      <c r="C91" s="185" t="str">
        <f t="shared" si="13"/>
        <v>Suministro de mano de obra para la instlacion y puesta en marcha de Mini módulo direccionable para monitoreo de avisador manual. FMM-101</v>
      </c>
      <c r="D91" s="186" t="str">
        <f t="shared" si="20"/>
        <v>un</v>
      </c>
      <c r="E91" s="187">
        <f t="shared" si="20"/>
        <v>4</v>
      </c>
      <c r="F91" s="188">
        <f t="shared" si="15"/>
        <v>350.24399999999997</v>
      </c>
      <c r="G91" s="188">
        <f t="shared" si="18"/>
        <v>1400.9759999999999</v>
      </c>
      <c r="H91" s="189"/>
      <c r="I91" s="190">
        <f t="shared" si="16"/>
        <v>248.39999999999998</v>
      </c>
      <c r="J91" s="191">
        <f t="shared" si="17"/>
        <v>101.84399999999998</v>
      </c>
      <c r="K91" s="191">
        <f t="shared" si="19"/>
        <v>350.24399999999997</v>
      </c>
      <c r="L91" s="189"/>
      <c r="M91" s="192" t="s">
        <v>599</v>
      </c>
      <c r="N91" s="172" t="s">
        <v>600</v>
      </c>
      <c r="O91" s="176" t="s">
        <v>593</v>
      </c>
    </row>
    <row r="92" spans="2:15" ht="43.5" x14ac:dyDescent="0.35">
      <c r="B92" s="11" t="s">
        <v>657</v>
      </c>
      <c r="C92" s="185" t="str">
        <f t="shared" si="13"/>
        <v>Suministro de mano de obra para la instlacion y puesta en marcha de Sirena con luz estroboscópica, 12/24 volts, 2 Hilos, roja, montaje de pared, 15, 15/75, 30, 75, 110 o 115 candelas. P2RL-SP</v>
      </c>
      <c r="D92" s="186" t="str">
        <f t="shared" si="20"/>
        <v>un</v>
      </c>
      <c r="E92" s="187">
        <f t="shared" si="20"/>
        <v>3</v>
      </c>
      <c r="F92" s="188">
        <f t="shared" si="15"/>
        <v>433.99799999999999</v>
      </c>
      <c r="G92" s="188">
        <f t="shared" si="18"/>
        <v>1301.9939999999999</v>
      </c>
      <c r="H92" s="189"/>
      <c r="I92" s="190">
        <f t="shared" si="16"/>
        <v>307.8</v>
      </c>
      <c r="J92" s="191">
        <f t="shared" si="17"/>
        <v>126.19799999999999</v>
      </c>
      <c r="K92" s="191">
        <f t="shared" si="19"/>
        <v>433.99799999999999</v>
      </c>
      <c r="L92" s="189"/>
      <c r="M92" s="192" t="s">
        <v>599</v>
      </c>
      <c r="N92" s="172" t="s">
        <v>600</v>
      </c>
      <c r="O92" s="176" t="s">
        <v>593</v>
      </c>
    </row>
    <row r="93" spans="2:15" ht="43.5" x14ac:dyDescent="0.35">
      <c r="B93" s="11" t="s">
        <v>658</v>
      </c>
      <c r="C93" s="185" t="str">
        <f t="shared" si="13"/>
        <v>Suministro de mano de obra para la instlacion y puesta en marcha de Fuente alimentación audible/visual. 6 Amperes de corriente continua. Alimentación 220 Vac.  FCPS-2456E</v>
      </c>
      <c r="D93" s="186" t="str">
        <f t="shared" si="20"/>
        <v>un</v>
      </c>
      <c r="E93" s="187">
        <f t="shared" si="20"/>
        <v>3</v>
      </c>
      <c r="F93" s="188">
        <f t="shared" si="15"/>
        <v>3692.79</v>
      </c>
      <c r="G93" s="193">
        <f t="shared" si="18"/>
        <v>11078.369999999999</v>
      </c>
      <c r="H93" s="189"/>
      <c r="I93" s="190">
        <f t="shared" si="16"/>
        <v>2619</v>
      </c>
      <c r="J93" s="191">
        <f t="shared" si="17"/>
        <v>1073.79</v>
      </c>
      <c r="K93" s="191">
        <f t="shared" si="19"/>
        <v>3692.79</v>
      </c>
      <c r="L93" s="189"/>
      <c r="M93" s="192" t="s">
        <v>594</v>
      </c>
      <c r="N93" s="172" t="s">
        <v>595</v>
      </c>
      <c r="O93" s="176" t="s">
        <v>596</v>
      </c>
    </row>
    <row r="94" spans="2:15" ht="43.5" x14ac:dyDescent="0.35">
      <c r="B94" s="11" t="s">
        <v>659</v>
      </c>
      <c r="C94" s="185" t="str">
        <f t="shared" si="13"/>
        <v>Suministro de mano de obra para la instlacion y puesta en marcha de Módulo direccionable para comando mediante contacto seco. FRM-1</v>
      </c>
      <c r="D94" s="186" t="str">
        <f t="shared" si="20"/>
        <v>un</v>
      </c>
      <c r="E94" s="187">
        <f t="shared" si="20"/>
        <v>10</v>
      </c>
      <c r="F94" s="188">
        <f t="shared" si="15"/>
        <v>578.66399999999999</v>
      </c>
      <c r="G94" s="188">
        <f t="shared" si="18"/>
        <v>5786.6399999999994</v>
      </c>
      <c r="H94" s="189"/>
      <c r="I94" s="190">
        <f t="shared" si="16"/>
        <v>410.4</v>
      </c>
      <c r="J94" s="191">
        <f t="shared" si="17"/>
        <v>168.26399999999998</v>
      </c>
      <c r="K94" s="191">
        <f t="shared" si="19"/>
        <v>578.66399999999999</v>
      </c>
      <c r="L94" s="189"/>
      <c r="M94" s="192" t="s">
        <v>599</v>
      </c>
      <c r="N94" s="172" t="s">
        <v>600</v>
      </c>
      <c r="O94" s="176" t="s">
        <v>593</v>
      </c>
    </row>
    <row r="95" spans="2:15" ht="29" x14ac:dyDescent="0.35">
      <c r="B95" s="11" t="s">
        <v>660</v>
      </c>
      <c r="C95" s="185" t="str">
        <f t="shared" si="13"/>
        <v>Suministro de mano de obra para la instlacion y puesta en marcha de Módulo de aislación. ISO-X</v>
      </c>
      <c r="D95" s="186" t="str">
        <f t="shared" si="20"/>
        <v>un</v>
      </c>
      <c r="E95" s="187">
        <f t="shared" si="20"/>
        <v>4</v>
      </c>
      <c r="F95" s="188">
        <f t="shared" si="15"/>
        <v>548.20799999999997</v>
      </c>
      <c r="G95" s="188">
        <f t="shared" si="18"/>
        <v>2192.8319999999999</v>
      </c>
      <c r="H95" s="189"/>
      <c r="I95" s="190">
        <f t="shared" si="16"/>
        <v>388.8</v>
      </c>
      <c r="J95" s="191">
        <f t="shared" si="17"/>
        <v>159.40799999999999</v>
      </c>
      <c r="K95" s="191">
        <f t="shared" si="19"/>
        <v>548.20799999999997</v>
      </c>
      <c r="L95" s="189"/>
      <c r="M95" s="192" t="s">
        <v>599</v>
      </c>
      <c r="N95" s="172" t="s">
        <v>600</v>
      </c>
      <c r="O95" s="176" t="s">
        <v>593</v>
      </c>
    </row>
    <row r="96" spans="2:15" ht="29" x14ac:dyDescent="0.35">
      <c r="B96" s="11" t="s">
        <v>661</v>
      </c>
      <c r="C96" s="185" t="str">
        <f t="shared" si="13"/>
        <v>Suministro de mano de obra para la instlacion y puesta en marcha de DDNP1501 - Philips DIN Network Pwr Supply 15V1.5A</v>
      </c>
      <c r="D96" s="186" t="str">
        <f t="shared" si="20"/>
        <v>u</v>
      </c>
      <c r="E96" s="187">
        <f t="shared" si="20"/>
        <v>2</v>
      </c>
      <c r="F96" s="188">
        <f t="shared" si="15"/>
        <v>2025.3239999999996</v>
      </c>
      <c r="G96" s="188">
        <f t="shared" si="18"/>
        <v>4050.6479999999992</v>
      </c>
      <c r="H96" s="189"/>
      <c r="I96" s="190">
        <f t="shared" si="16"/>
        <v>1436.3999999999999</v>
      </c>
      <c r="J96" s="191">
        <f t="shared" si="17"/>
        <v>588.92399999999986</v>
      </c>
      <c r="K96" s="191">
        <f t="shared" si="19"/>
        <v>2025.3239999999996</v>
      </c>
      <c r="L96" s="189"/>
      <c r="M96" s="192" t="s">
        <v>594</v>
      </c>
      <c r="N96" s="172" t="s">
        <v>595</v>
      </c>
      <c r="O96" s="176" t="s">
        <v>596</v>
      </c>
    </row>
    <row r="97" spans="2:15" ht="43.5" x14ac:dyDescent="0.35">
      <c r="B97" s="11" t="s">
        <v>662</v>
      </c>
      <c r="C97" s="185" t="str">
        <f t="shared" si="13"/>
        <v>Suministro de mano de obra para la instlacion y puesta en marcha de DUS704W-MB - Philips Universal Sensor Wall Mount long range lense</v>
      </c>
      <c r="D97" s="186" t="str">
        <f t="shared" si="20"/>
        <v>u</v>
      </c>
      <c r="E97" s="187">
        <f t="shared" si="20"/>
        <v>4</v>
      </c>
      <c r="F97" s="188">
        <f t="shared" si="15"/>
        <v>2512.62</v>
      </c>
      <c r="G97" s="188">
        <f t="shared" si="18"/>
        <v>10050.48</v>
      </c>
      <c r="H97" s="189"/>
      <c r="I97" s="190">
        <f t="shared" si="16"/>
        <v>1782</v>
      </c>
      <c r="J97" s="191">
        <f t="shared" si="17"/>
        <v>730.62</v>
      </c>
      <c r="K97" s="191">
        <f t="shared" si="19"/>
        <v>2512.62</v>
      </c>
      <c r="L97" s="189"/>
      <c r="M97" s="192" t="s">
        <v>594</v>
      </c>
      <c r="N97" s="172" t="s">
        <v>595</v>
      </c>
      <c r="O97" s="176" t="s">
        <v>596</v>
      </c>
    </row>
    <row r="98" spans="2:15" ht="29" x14ac:dyDescent="0.35">
      <c r="B98" s="11" t="s">
        <v>663</v>
      </c>
      <c r="C98" s="185" t="str">
        <f t="shared" si="13"/>
        <v>Suministro de mano de obra para la instlacion y puesta en marcha de Detector Inalámbrico</v>
      </c>
      <c r="D98" s="186" t="str">
        <f t="shared" si="20"/>
        <v>u</v>
      </c>
      <c r="E98" s="187">
        <f t="shared" si="20"/>
        <v>10</v>
      </c>
      <c r="F98" s="188">
        <f t="shared" si="15"/>
        <v>1903.5</v>
      </c>
      <c r="G98" s="193">
        <f t="shared" si="18"/>
        <v>19035</v>
      </c>
      <c r="H98" s="189"/>
      <c r="I98" s="190">
        <f t="shared" si="16"/>
        <v>1350</v>
      </c>
      <c r="J98" s="191">
        <f t="shared" si="17"/>
        <v>553.5</v>
      </c>
      <c r="K98" s="191">
        <f t="shared" si="19"/>
        <v>1903.5</v>
      </c>
      <c r="L98" s="189"/>
      <c r="M98" s="192" t="s">
        <v>599</v>
      </c>
      <c r="N98" s="172" t="s">
        <v>600</v>
      </c>
      <c r="O98" s="176" t="s">
        <v>593</v>
      </c>
    </row>
    <row r="99" spans="2:15" ht="29" x14ac:dyDescent="0.35">
      <c r="B99" s="11" t="s">
        <v>664</v>
      </c>
      <c r="C99" s="185" t="str">
        <f t="shared" si="13"/>
        <v>Suministro de mano de obra para la instlacion y puesta en marcha de DDRC1220FR-GL-V2 - Philips Controlador 12x20A replay</v>
      </c>
      <c r="D99" s="186" t="str">
        <f t="shared" si="20"/>
        <v>u</v>
      </c>
      <c r="E99" s="187">
        <f t="shared" si="20"/>
        <v>3</v>
      </c>
      <c r="F99" s="188">
        <f t="shared" si="15"/>
        <v>4583.6279999999997</v>
      </c>
      <c r="G99" s="188">
        <f t="shared" si="18"/>
        <v>13750.883999999998</v>
      </c>
      <c r="H99" s="189"/>
      <c r="I99" s="190">
        <f t="shared" si="16"/>
        <v>3250.7999999999997</v>
      </c>
      <c r="J99" s="191">
        <f t="shared" si="17"/>
        <v>1332.8279999999997</v>
      </c>
      <c r="K99" s="191">
        <f t="shared" si="19"/>
        <v>4583.6279999999997</v>
      </c>
      <c r="L99" s="189"/>
      <c r="M99" s="192" t="s">
        <v>594</v>
      </c>
      <c r="N99" s="172" t="s">
        <v>595</v>
      </c>
      <c r="O99" s="176" t="s">
        <v>596</v>
      </c>
    </row>
    <row r="100" spans="2:15" ht="29" x14ac:dyDescent="0.35">
      <c r="B100" s="11" t="s">
        <v>665</v>
      </c>
      <c r="C100" s="185" t="str">
        <f t="shared" si="13"/>
        <v>Suministro de mano de obra para la instlacion y puesta en marcha de DPN941 - Philips Botonera Industrial 4 botones Classic Series</v>
      </c>
      <c r="D100" s="186" t="str">
        <f t="shared" si="20"/>
        <v>u</v>
      </c>
      <c r="E100" s="187">
        <f t="shared" si="20"/>
        <v>2</v>
      </c>
      <c r="F100" s="188">
        <f t="shared" si="15"/>
        <v>2406.0239999999999</v>
      </c>
      <c r="G100" s="188">
        <f t="shared" si="18"/>
        <v>4812.0479999999998</v>
      </c>
      <c r="H100" s="189"/>
      <c r="I100" s="190">
        <f t="shared" si="16"/>
        <v>1706.3999999999999</v>
      </c>
      <c r="J100" s="191">
        <f t="shared" si="17"/>
        <v>699.62399999999991</v>
      </c>
      <c r="K100" s="191">
        <f t="shared" si="19"/>
        <v>2406.0239999999999</v>
      </c>
      <c r="L100" s="189"/>
      <c r="M100" s="192" t="s">
        <v>594</v>
      </c>
      <c r="N100" s="172" t="s">
        <v>595</v>
      </c>
      <c r="O100" s="176" t="s">
        <v>596</v>
      </c>
    </row>
    <row r="101" spans="2:15" ht="29" x14ac:dyDescent="0.35">
      <c r="B101" s="11" t="s">
        <v>666</v>
      </c>
      <c r="C101" s="185" t="str">
        <f t="shared" si="13"/>
        <v>Suministro de mano de obra para la instlacion y puesta en marcha de Philips EnvisionGateway 10/100 Base T</v>
      </c>
      <c r="D101" s="186" t="str">
        <f t="shared" si="20"/>
        <v>u</v>
      </c>
      <c r="E101" s="187">
        <f t="shared" si="20"/>
        <v>2</v>
      </c>
      <c r="F101" s="188">
        <f t="shared" si="15"/>
        <v>4964.3279999999995</v>
      </c>
      <c r="G101" s="188">
        <f t="shared" ref="G101:G102" si="21">E101*F101</f>
        <v>9928.655999999999</v>
      </c>
      <c r="H101" s="189"/>
      <c r="I101" s="190">
        <f t="shared" si="16"/>
        <v>3520.7999999999997</v>
      </c>
      <c r="J101" s="191">
        <f t="shared" si="17"/>
        <v>1443.5279999999998</v>
      </c>
      <c r="K101" s="191">
        <f t="shared" ref="K101:K102" si="22">I101+J101</f>
        <v>4964.3279999999995</v>
      </c>
      <c r="L101" s="189"/>
      <c r="M101" s="192" t="s">
        <v>594</v>
      </c>
      <c r="N101" s="172" t="s">
        <v>595</v>
      </c>
      <c r="O101" s="176" t="s">
        <v>596</v>
      </c>
    </row>
    <row r="102" spans="2:15" ht="43.5" x14ac:dyDescent="0.35">
      <c r="B102" s="11" t="s">
        <v>667</v>
      </c>
      <c r="C102" s="185" t="str">
        <f t="shared" si="13"/>
        <v>Suministro de mano de obra para la instlacion y puesta en marcha de Compresor repuesto Unidad condensadora (uno por cada tipo de unidad)</v>
      </c>
      <c r="D102" s="186" t="str">
        <f t="shared" si="20"/>
        <v>u</v>
      </c>
      <c r="E102" s="187">
        <f t="shared" si="20"/>
        <v>3</v>
      </c>
      <c r="F102" s="188">
        <f t="shared" si="15"/>
        <v>11801.7</v>
      </c>
      <c r="G102" s="188">
        <f t="shared" si="21"/>
        <v>35405.100000000006</v>
      </c>
      <c r="H102" s="189"/>
      <c r="I102" s="190">
        <f t="shared" si="16"/>
        <v>8370</v>
      </c>
      <c r="J102" s="191">
        <f t="shared" si="17"/>
        <v>3431.7</v>
      </c>
      <c r="K102" s="191">
        <f t="shared" si="22"/>
        <v>11801.7</v>
      </c>
      <c r="L102" s="189"/>
      <c r="M102" s="192" t="s">
        <v>601</v>
      </c>
      <c r="N102" s="172" t="s">
        <v>602</v>
      </c>
      <c r="O102" s="176" t="s">
        <v>596</v>
      </c>
    </row>
    <row r="103" spans="2:15" x14ac:dyDescent="0.35">
      <c r="B103" s="12"/>
      <c r="C103" s="13"/>
      <c r="D103" s="12"/>
      <c r="E103" s="116"/>
      <c r="F103" s="22"/>
      <c r="G103" s="22"/>
      <c r="J103" s="118"/>
      <c r="K103" s="118"/>
      <c r="M103" s="179"/>
      <c r="N103" s="176"/>
      <c r="O103" s="176"/>
    </row>
    <row r="104" spans="2:15" x14ac:dyDescent="0.35">
      <c r="B104" s="151" t="s">
        <v>259</v>
      </c>
      <c r="C104" s="151" t="s">
        <v>2</v>
      </c>
      <c r="D104" s="151" t="s">
        <v>480</v>
      </c>
      <c r="E104" s="151" t="s">
        <v>4</v>
      </c>
      <c r="F104" s="159" t="s">
        <v>72</v>
      </c>
      <c r="G104" s="159" t="s">
        <v>5</v>
      </c>
    </row>
    <row r="105" spans="2:15" ht="29" x14ac:dyDescent="0.35">
      <c r="B105" s="151">
        <v>3</v>
      </c>
      <c r="C105" s="156" t="s">
        <v>390</v>
      </c>
      <c r="D105" s="11" t="s">
        <v>26</v>
      </c>
      <c r="E105" s="62">
        <v>1</v>
      </c>
      <c r="F105" s="158">
        <f>SUM(G106:G143)</f>
        <v>1380319.5</v>
      </c>
      <c r="G105" s="158">
        <f>E105*F105</f>
        <v>1380319.5</v>
      </c>
      <c r="H105" s="46"/>
      <c r="I105" s="52"/>
      <c r="J105" s="51"/>
      <c r="K105" s="51"/>
      <c r="L105" s="46">
        <f>SUM(K106:K143)</f>
        <v>42864</v>
      </c>
    </row>
    <row r="106" spans="2:15" ht="43.5" x14ac:dyDescent="0.35">
      <c r="B106" s="11" t="s">
        <v>668</v>
      </c>
      <c r="C106" s="10" t="str">
        <f>"Suministro de materiales y  mano de obra para la realizacion de mantenimiento de "&amp;'Aux 3p y Anexo'!B3</f>
        <v>Suministro de materiales y  mano de obra para la realizacion de mantenimiento de INDICADOR LUMINOSO DE SALIDA DE EMERGENCIA.</v>
      </c>
      <c r="D106" s="11" t="s">
        <v>26</v>
      </c>
      <c r="E106" s="11">
        <f>'Aux 3p y Anexo'!C3</f>
        <v>26</v>
      </c>
      <c r="F106" s="14">
        <f t="shared" ref="F106:F143" si="23">K106</f>
        <v>1198.5</v>
      </c>
      <c r="G106" s="14">
        <f t="shared" si="18"/>
        <v>31161</v>
      </c>
      <c r="I106" s="52">
        <v>850</v>
      </c>
      <c r="J106" s="51">
        <f t="shared" ref="J106:J143" si="24">I106*$I$2</f>
        <v>348.5</v>
      </c>
      <c r="K106" s="51">
        <f t="shared" ref="K106:K143" si="25">I106+J106</f>
        <v>1198.5</v>
      </c>
      <c r="M106" s="194" t="s">
        <v>594</v>
      </c>
      <c r="N106" s="176" t="s">
        <v>595</v>
      </c>
      <c r="O106" s="176" t="s">
        <v>596</v>
      </c>
    </row>
    <row r="107" spans="2:15" ht="29" x14ac:dyDescent="0.35">
      <c r="B107" s="11" t="s">
        <v>669</v>
      </c>
      <c r="C107" s="10" t="str">
        <f>"Suministro de materiales y  mano de obra para la realizacion de mantenimiento de "&amp;'Aux 3p y Anexo'!B4</f>
        <v>Suministro de materiales y  mano de obra para la realizacion de mantenimiento de Artefacto LED 30 x 30 s/pliegos</v>
      </c>
      <c r="D107" s="11" t="s">
        <v>26</v>
      </c>
      <c r="E107" s="11">
        <f>'Aux 3p y Anexo'!C4</f>
        <v>13</v>
      </c>
      <c r="F107" s="14">
        <f t="shared" si="23"/>
        <v>1198.5</v>
      </c>
      <c r="G107" s="14">
        <f t="shared" si="18"/>
        <v>15580.5</v>
      </c>
      <c r="I107" s="52">
        <v>850</v>
      </c>
      <c r="J107" s="51">
        <f t="shared" si="24"/>
        <v>348.5</v>
      </c>
      <c r="K107" s="51">
        <f t="shared" si="25"/>
        <v>1198.5</v>
      </c>
      <c r="M107" s="179" t="s">
        <v>594</v>
      </c>
      <c r="N107" s="176" t="s">
        <v>595</v>
      </c>
      <c r="O107" s="176" t="s">
        <v>596</v>
      </c>
    </row>
    <row r="108" spans="2:15" ht="43.5" x14ac:dyDescent="0.35">
      <c r="B108" s="11" t="s">
        <v>670</v>
      </c>
      <c r="C108" s="10" t="str">
        <f>"Suministro de materiales y  mano de obra para la realizacion de mantenimiento de "&amp;'Aux 3p y Anexo'!B5</f>
        <v>Suministro de materiales y  mano de obra para la realizacion de mantenimiento de Artefacto LED 30 x 30 s/pliegos. Con Equipo de Iluminción de Emergencia</v>
      </c>
      <c r="D108" s="11" t="s">
        <v>26</v>
      </c>
      <c r="E108" s="11">
        <f>'Aux 3p y Anexo'!C5</f>
        <v>5</v>
      </c>
      <c r="F108" s="14">
        <f t="shared" si="23"/>
        <v>1198.5</v>
      </c>
      <c r="G108" s="14">
        <f t="shared" si="18"/>
        <v>5992.5</v>
      </c>
      <c r="I108" s="52">
        <v>850</v>
      </c>
      <c r="J108" s="51">
        <f t="shared" si="24"/>
        <v>348.5</v>
      </c>
      <c r="K108" s="51">
        <f t="shared" si="25"/>
        <v>1198.5</v>
      </c>
      <c r="M108" s="179" t="s">
        <v>594</v>
      </c>
      <c r="N108" s="176" t="s">
        <v>595</v>
      </c>
      <c r="O108" s="176" t="s">
        <v>596</v>
      </c>
    </row>
    <row r="109" spans="2:15" ht="29" x14ac:dyDescent="0.35">
      <c r="B109" s="11" t="s">
        <v>671</v>
      </c>
      <c r="C109" s="10" t="str">
        <f>"Suministro de materiales y  mano de obra para la realizacion de mantenimiento de "&amp;'Aux 3p y Anexo'!B6</f>
        <v>Suministro de materiales y  mano de obra para la realizacion de mantenimiento de Artefacto LED 60 x 60 s/pliegos</v>
      </c>
      <c r="D109" s="11" t="s">
        <v>26</v>
      </c>
      <c r="E109" s="11">
        <f>'Aux 3p y Anexo'!C6</f>
        <v>63</v>
      </c>
      <c r="F109" s="14">
        <f t="shared" si="23"/>
        <v>1198.5</v>
      </c>
      <c r="G109" s="14">
        <f t="shared" si="18"/>
        <v>75505.5</v>
      </c>
      <c r="I109" s="52">
        <v>850</v>
      </c>
      <c r="J109" s="51">
        <f t="shared" si="24"/>
        <v>348.5</v>
      </c>
      <c r="K109" s="51">
        <f t="shared" si="25"/>
        <v>1198.5</v>
      </c>
      <c r="M109" s="179" t="s">
        <v>594</v>
      </c>
      <c r="N109" s="176" t="s">
        <v>595</v>
      </c>
      <c r="O109" s="176" t="s">
        <v>596</v>
      </c>
    </row>
    <row r="110" spans="2:15" ht="43.5" x14ac:dyDescent="0.35">
      <c r="B110" s="11" t="s">
        <v>672</v>
      </c>
      <c r="C110" s="10" t="str">
        <f>"Suministro de materiales y  mano de obra para la realizacion de mantenimiento de "&amp;'Aux 3p y Anexo'!B7</f>
        <v>Suministro de materiales y  mano de obra para la realizacion de mantenimiento de Artefacto LED 60 x 60 s/pliegos. Con Equipo de Iluminción de Emergencia</v>
      </c>
      <c r="D110" s="11" t="s">
        <v>26</v>
      </c>
      <c r="E110" s="11">
        <f>'Aux 3p y Anexo'!C7</f>
        <v>10</v>
      </c>
      <c r="F110" s="14">
        <f t="shared" si="23"/>
        <v>1198.5</v>
      </c>
      <c r="G110" s="14">
        <f t="shared" si="18"/>
        <v>11985</v>
      </c>
      <c r="I110" s="52">
        <v>850</v>
      </c>
      <c r="J110" s="51">
        <f t="shared" si="24"/>
        <v>348.5</v>
      </c>
      <c r="K110" s="51">
        <f t="shared" si="25"/>
        <v>1198.5</v>
      </c>
      <c r="M110" s="179" t="s">
        <v>594</v>
      </c>
      <c r="N110" s="176" t="s">
        <v>595</v>
      </c>
      <c r="O110" s="176" t="s">
        <v>596</v>
      </c>
    </row>
    <row r="111" spans="2:15" ht="29" x14ac:dyDescent="0.35">
      <c r="B111" s="11" t="s">
        <v>673</v>
      </c>
      <c r="C111" s="10" t="str">
        <f>"Suministro de materiales y  mano de obra para la realizacion de mantenimiento de "&amp;'Aux 3p y Anexo'!B8</f>
        <v>Suministro de materiales y  mano de obra para la realizacion de mantenimiento de Tableros Seccional</v>
      </c>
      <c r="D111" s="11" t="s">
        <v>26</v>
      </c>
      <c r="E111" s="11">
        <f>'Aux 3p y Anexo'!C8</f>
        <v>9</v>
      </c>
      <c r="F111" s="14">
        <f t="shared" si="23"/>
        <v>4935</v>
      </c>
      <c r="G111" s="14">
        <f t="shared" si="18"/>
        <v>44415</v>
      </c>
      <c r="I111" s="52">
        <v>3500</v>
      </c>
      <c r="J111" s="51">
        <f t="shared" si="24"/>
        <v>1435</v>
      </c>
      <c r="K111" s="51">
        <f t="shared" si="25"/>
        <v>4935</v>
      </c>
      <c r="M111" s="179" t="s">
        <v>594</v>
      </c>
      <c r="N111" s="176" t="s">
        <v>595</v>
      </c>
      <c r="O111" s="176" t="s">
        <v>596</v>
      </c>
    </row>
    <row r="112" spans="2:15" ht="29" x14ac:dyDescent="0.35">
      <c r="B112" s="11" t="s">
        <v>674</v>
      </c>
      <c r="C112" s="10" t="str">
        <f>"Suministro de materiales y  mano de obra para la realizacion de mantenimiento de "&amp;'Aux 3p y Anexo'!B9</f>
        <v>Suministro de materiales y  mano de obra para la realizacion de mantenimiento de Parlante Audio 0,5-2W</v>
      </c>
      <c r="D112" s="11" t="s">
        <v>26</v>
      </c>
      <c r="E112" s="11">
        <f>'Aux 3p y Anexo'!C9</f>
        <v>13</v>
      </c>
      <c r="F112" s="14">
        <f t="shared" si="23"/>
        <v>211.5</v>
      </c>
      <c r="G112" s="14">
        <f t="shared" si="18"/>
        <v>2749.5</v>
      </c>
      <c r="I112" s="52">
        <v>150</v>
      </c>
      <c r="J112" s="51">
        <f t="shared" si="24"/>
        <v>61.499999999999993</v>
      </c>
      <c r="K112" s="51">
        <f t="shared" si="25"/>
        <v>211.5</v>
      </c>
      <c r="M112" s="179" t="s">
        <v>591</v>
      </c>
      <c r="N112" s="176" t="s">
        <v>592</v>
      </c>
      <c r="O112" s="176" t="s">
        <v>593</v>
      </c>
    </row>
    <row r="113" spans="2:15" ht="29" x14ac:dyDescent="0.35">
      <c r="B113" s="11" t="s">
        <v>675</v>
      </c>
      <c r="C113" s="10" t="str">
        <f>"Suministro de materiales y  mano de obra para la realizacion de mantenimiento de "&amp;'Aux 3p y Anexo'!B10</f>
        <v>Suministro de materiales y  mano de obra para la realizacion de mantenimiento de Rociador Mont. K5,6 68°C</v>
      </c>
      <c r="D113" s="11" t="s">
        <v>26</v>
      </c>
      <c r="E113" s="11">
        <f>'Aux 3p y Anexo'!C10</f>
        <v>165</v>
      </c>
      <c r="F113" s="14">
        <f t="shared" si="23"/>
        <v>211.5</v>
      </c>
      <c r="G113" s="14">
        <f t="shared" si="18"/>
        <v>34897.5</v>
      </c>
      <c r="I113" s="52">
        <v>150</v>
      </c>
      <c r="J113" s="51">
        <f t="shared" si="24"/>
        <v>61.499999999999993</v>
      </c>
      <c r="K113" s="51">
        <f t="shared" si="25"/>
        <v>211.5</v>
      </c>
      <c r="M113" s="179" t="s">
        <v>599</v>
      </c>
      <c r="N113" s="176" t="s">
        <v>600</v>
      </c>
      <c r="O113" s="176" t="s">
        <v>593</v>
      </c>
    </row>
    <row r="114" spans="2:15" ht="29" x14ac:dyDescent="0.35">
      <c r="B114" s="11" t="s">
        <v>676</v>
      </c>
      <c r="C114" s="10" t="str">
        <f>"Suministro de materiales y  mano de obra para la realizacion de mantenimiento de "&amp;'Aux 3p y Anexo'!B11</f>
        <v>Suministro de materiales y  mano de obra para la realizacion de mantenimiento de Rociador Pend. K5,6 68°C</v>
      </c>
      <c r="D114" s="11" t="s">
        <v>26</v>
      </c>
      <c r="E114" s="11">
        <f>'Aux 3p y Anexo'!C11</f>
        <v>165</v>
      </c>
      <c r="F114" s="14">
        <f t="shared" si="23"/>
        <v>211.5</v>
      </c>
      <c r="G114" s="14">
        <f t="shared" si="18"/>
        <v>34897.5</v>
      </c>
      <c r="I114" s="52">
        <v>150</v>
      </c>
      <c r="J114" s="51">
        <f t="shared" si="24"/>
        <v>61.499999999999993</v>
      </c>
      <c r="K114" s="51">
        <f t="shared" si="25"/>
        <v>211.5</v>
      </c>
      <c r="M114" s="179" t="s">
        <v>599</v>
      </c>
      <c r="N114" s="176" t="s">
        <v>600</v>
      </c>
      <c r="O114" s="176" t="s">
        <v>593</v>
      </c>
    </row>
    <row r="115" spans="2:15" ht="29" x14ac:dyDescent="0.35">
      <c r="B115" s="11" t="s">
        <v>677</v>
      </c>
      <c r="C115" s="10" t="str">
        <f>"Suministro de materiales y  mano de obra para la realizacion de mantenimiento de "&amp;'Aux 3p y Anexo'!B12</f>
        <v>Suministro de materiales y  mano de obra para la realizacion de mantenimiento de ROCIADOR SIDEWALL K 5.6 68°C</v>
      </c>
      <c r="D115" s="11" t="s">
        <v>26</v>
      </c>
      <c r="E115" s="11">
        <f>'Aux 3p y Anexo'!C12</f>
        <v>5</v>
      </c>
      <c r="F115" s="14">
        <f t="shared" si="23"/>
        <v>211.5</v>
      </c>
      <c r="G115" s="14">
        <f t="shared" si="18"/>
        <v>1057.5</v>
      </c>
      <c r="I115" s="52">
        <v>150</v>
      </c>
      <c r="J115" s="51">
        <f t="shared" si="24"/>
        <v>61.499999999999993</v>
      </c>
      <c r="K115" s="51">
        <f t="shared" si="25"/>
        <v>211.5</v>
      </c>
      <c r="M115" s="179" t="s">
        <v>599</v>
      </c>
      <c r="N115" s="176" t="s">
        <v>600</v>
      </c>
      <c r="O115" s="176" t="s">
        <v>593</v>
      </c>
    </row>
    <row r="116" spans="2:15" ht="29" x14ac:dyDescent="0.35">
      <c r="B116" s="11" t="s">
        <v>678</v>
      </c>
      <c r="C116" s="10" t="str">
        <f>"Suministro de materiales y  mano de obra para la realizacion de mantenimiento de "&amp;'Aux 3p y Anexo'!B13</f>
        <v>Suministro de materiales y  mano de obra para la realizacion de mantenimiento de Detector Foto Ambiente/Cielorraso</v>
      </c>
      <c r="D116" s="11" t="s">
        <v>26</v>
      </c>
      <c r="E116" s="11">
        <f>'Aux 3p y Anexo'!C13</f>
        <v>189</v>
      </c>
      <c r="F116" s="14">
        <f t="shared" si="23"/>
        <v>211.5</v>
      </c>
      <c r="G116" s="14">
        <f t="shared" si="18"/>
        <v>39973.5</v>
      </c>
      <c r="I116" s="52">
        <v>150</v>
      </c>
      <c r="J116" s="51">
        <f t="shared" si="24"/>
        <v>61.499999999999993</v>
      </c>
      <c r="K116" s="51">
        <f t="shared" si="25"/>
        <v>211.5</v>
      </c>
      <c r="M116" s="179" t="s">
        <v>599</v>
      </c>
      <c r="N116" s="176" t="s">
        <v>600</v>
      </c>
      <c r="O116" s="176" t="s">
        <v>593</v>
      </c>
    </row>
    <row r="117" spans="2:15" ht="29" x14ac:dyDescent="0.35">
      <c r="B117" s="11" t="s">
        <v>679</v>
      </c>
      <c r="C117" s="10" t="str">
        <f>"Suministro de materiales y  mano de obra para la realizacion de mantenimiento de "&amp;'Aux 3p y Anexo'!B14</f>
        <v>Suministro de materiales y  mano de obra para la realizacion de mantenimiento de DETECTOR TERMICO para central incendio</v>
      </c>
      <c r="D117" s="11" t="s">
        <v>26</v>
      </c>
      <c r="E117" s="11">
        <f>'Aux 3p y Anexo'!C14</f>
        <v>5</v>
      </c>
      <c r="F117" s="14">
        <f t="shared" si="23"/>
        <v>211.5</v>
      </c>
      <c r="G117" s="14">
        <f t="shared" si="18"/>
        <v>1057.5</v>
      </c>
      <c r="I117" s="52">
        <v>150</v>
      </c>
      <c r="J117" s="51">
        <f t="shared" si="24"/>
        <v>61.499999999999993</v>
      </c>
      <c r="K117" s="51">
        <f t="shared" si="25"/>
        <v>211.5</v>
      </c>
      <c r="M117" s="179" t="s">
        <v>599</v>
      </c>
      <c r="N117" s="176" t="s">
        <v>600</v>
      </c>
      <c r="O117" s="176" t="s">
        <v>593</v>
      </c>
    </row>
    <row r="118" spans="2:15" ht="29" x14ac:dyDescent="0.35">
      <c r="B118" s="11" t="s">
        <v>680</v>
      </c>
      <c r="C118" s="10" t="str">
        <f>"Suministro de materiales y  mano de obra para la realizacion de mantenimiento de "&amp;'Aux 3p y Anexo'!B15</f>
        <v>Suministro de materiales y  mano de obra para la realizacion de mantenimiento de Pulsador Manual de aviso de incendio</v>
      </c>
      <c r="D118" s="11" t="s">
        <v>26</v>
      </c>
      <c r="E118" s="11">
        <f>'Aux 3p y Anexo'!C15</f>
        <v>9</v>
      </c>
      <c r="F118" s="14">
        <f t="shared" si="23"/>
        <v>211.5</v>
      </c>
      <c r="G118" s="14">
        <f t="shared" si="18"/>
        <v>1903.5</v>
      </c>
      <c r="I118" s="52">
        <v>150</v>
      </c>
      <c r="J118" s="51">
        <f t="shared" si="24"/>
        <v>61.499999999999993</v>
      </c>
      <c r="K118" s="51">
        <f t="shared" si="25"/>
        <v>211.5</v>
      </c>
      <c r="M118" s="179" t="s">
        <v>599</v>
      </c>
      <c r="N118" s="176" t="s">
        <v>600</v>
      </c>
      <c r="O118" s="176" t="s">
        <v>593</v>
      </c>
    </row>
    <row r="119" spans="2:15" ht="29" x14ac:dyDescent="0.35">
      <c r="B119" s="11" t="s">
        <v>681</v>
      </c>
      <c r="C119" s="10" t="str">
        <f>"Suministro de materiales y  mano de obra para la realizacion de mantenimiento de "&amp;'Aux 3p y Anexo'!B16</f>
        <v>Suministro de materiales y  mano de obra para la realizacion de mantenimiento de Sirena con Estrobo aviso de incendio</v>
      </c>
      <c r="D119" s="11" t="s">
        <v>26</v>
      </c>
      <c r="E119" s="11">
        <f>'Aux 3p y Anexo'!C16</f>
        <v>9</v>
      </c>
      <c r="F119" s="14">
        <f t="shared" si="23"/>
        <v>211.5</v>
      </c>
      <c r="G119" s="14">
        <f t="shared" si="18"/>
        <v>1903.5</v>
      </c>
      <c r="I119" s="52">
        <v>150</v>
      </c>
      <c r="J119" s="51">
        <f t="shared" si="24"/>
        <v>61.499999999999993</v>
      </c>
      <c r="K119" s="51">
        <f t="shared" si="25"/>
        <v>211.5</v>
      </c>
      <c r="M119" s="179" t="s">
        <v>599</v>
      </c>
      <c r="N119" s="176" t="s">
        <v>600</v>
      </c>
      <c r="O119" s="176" t="s">
        <v>593</v>
      </c>
    </row>
    <row r="120" spans="2:15" ht="29" x14ac:dyDescent="0.35">
      <c r="B120" s="11" t="s">
        <v>682</v>
      </c>
      <c r="C120" s="10" t="str">
        <f>"Suministro de materiales y  mano de obra para la realizacion de mantenimiento de "&amp;'Aux 3p y Anexo'!B17</f>
        <v>Suministro de materiales y  mano de obra para la realizacion de mantenimiento de Evaporadora Bajo Silueta</v>
      </c>
      <c r="D120" s="11" t="s">
        <v>26</v>
      </c>
      <c r="E120" s="11">
        <f>'Aux 3p y Anexo'!C17</f>
        <v>24</v>
      </c>
      <c r="F120" s="14">
        <f t="shared" si="23"/>
        <v>1692</v>
      </c>
      <c r="G120" s="14">
        <f t="shared" si="18"/>
        <v>40608</v>
      </c>
      <c r="I120" s="52">
        <v>1200</v>
      </c>
      <c r="J120" s="51">
        <f t="shared" si="24"/>
        <v>491.99999999999994</v>
      </c>
      <c r="K120" s="51">
        <f t="shared" si="25"/>
        <v>1692</v>
      </c>
      <c r="M120" s="179" t="s">
        <v>599</v>
      </c>
      <c r="N120" s="176" t="s">
        <v>600</v>
      </c>
      <c r="O120" s="176" t="s">
        <v>593</v>
      </c>
    </row>
    <row r="121" spans="2:15" ht="29" x14ac:dyDescent="0.35">
      <c r="B121" s="11" t="s">
        <v>683</v>
      </c>
      <c r="C121" s="10" t="str">
        <f>"Suministro de materiales y  mano de obra para la realizacion de mantenimiento de "&amp;'Aux 3p y Anexo'!B18</f>
        <v>Suministro de materiales y  mano de obra para la realizacion de mantenimiento de Evaporadora Tipo Cassette</v>
      </c>
      <c r="D121" s="11" t="s">
        <v>26</v>
      </c>
      <c r="E121" s="11">
        <f>'Aux 3p y Anexo'!C18</f>
        <v>54</v>
      </c>
      <c r="F121" s="14">
        <f t="shared" si="23"/>
        <v>1692</v>
      </c>
      <c r="G121" s="14">
        <f t="shared" si="18"/>
        <v>91368</v>
      </c>
      <c r="I121" s="52">
        <v>1200</v>
      </c>
      <c r="J121" s="51">
        <f t="shared" si="24"/>
        <v>491.99999999999994</v>
      </c>
      <c r="K121" s="51">
        <f t="shared" si="25"/>
        <v>1692</v>
      </c>
      <c r="M121" s="179" t="s">
        <v>599</v>
      </c>
      <c r="N121" s="176" t="s">
        <v>600</v>
      </c>
      <c r="O121" s="176" t="s">
        <v>593</v>
      </c>
    </row>
    <row r="122" spans="2:15" ht="29" x14ac:dyDescent="0.35">
      <c r="B122" s="11" t="s">
        <v>684</v>
      </c>
      <c r="C122" s="10" t="str">
        <f>"Suministro de materiales y  mano de obra para la realizacion de mantenimiento de "&amp;'Aux 3p y Anexo'!B19</f>
        <v>Suministro de materiales y  mano de obra para la realizacion de mantenimiento de Evaporadora de Pared (Split)</v>
      </c>
      <c r="D122" s="11" t="s">
        <v>26</v>
      </c>
      <c r="E122" s="11">
        <f>'Aux 3p y Anexo'!C19</f>
        <v>26</v>
      </c>
      <c r="F122" s="14">
        <f t="shared" si="23"/>
        <v>1692</v>
      </c>
      <c r="G122" s="14">
        <f t="shared" si="18"/>
        <v>43992</v>
      </c>
      <c r="I122" s="52">
        <v>1200</v>
      </c>
      <c r="J122" s="51">
        <f t="shared" si="24"/>
        <v>491.99999999999994</v>
      </c>
      <c r="K122" s="51">
        <f t="shared" si="25"/>
        <v>1692</v>
      </c>
      <c r="M122" s="179" t="s">
        <v>599</v>
      </c>
      <c r="N122" s="176" t="s">
        <v>600</v>
      </c>
      <c r="O122" s="176" t="s">
        <v>593</v>
      </c>
    </row>
    <row r="123" spans="2:15" ht="58" x14ac:dyDescent="0.35">
      <c r="B123" s="11" t="s">
        <v>685</v>
      </c>
      <c r="C123" s="10" t="str">
        <f>"Suministro de materiales y  mano de obra para la realizacion de mantenimiento de "&amp;'Aux 3p y Anexo'!B20</f>
        <v>Suministro de materiales y  mano de obra para la realizacion de mantenimiento de ARTEFACTOS DE ILUMINACIÓN DE EMPOTRAR, MODELO TURN ROUND REDONDO, DIAMETRO 85 MM, DE MARCA PHILIPS O CALIDAD SUPERIOR.</v>
      </c>
      <c r="D123" s="11" t="s">
        <v>26</v>
      </c>
      <c r="E123" s="11">
        <f>'Aux 3p y Anexo'!C20</f>
        <v>91</v>
      </c>
      <c r="F123" s="14">
        <f t="shared" si="23"/>
        <v>1198.5</v>
      </c>
      <c r="G123" s="14">
        <f t="shared" si="18"/>
        <v>109063.5</v>
      </c>
      <c r="I123" s="52">
        <v>850</v>
      </c>
      <c r="J123" s="51">
        <f t="shared" si="24"/>
        <v>348.5</v>
      </c>
      <c r="K123" s="51">
        <f t="shared" si="25"/>
        <v>1198.5</v>
      </c>
      <c r="M123" s="179" t="s">
        <v>594</v>
      </c>
      <c r="N123" s="176" t="s">
        <v>595</v>
      </c>
      <c r="O123" s="176" t="s">
        <v>596</v>
      </c>
    </row>
    <row r="124" spans="2:15" ht="72.5" x14ac:dyDescent="0.35">
      <c r="B124" s="11" t="s">
        <v>686</v>
      </c>
      <c r="C124" s="10" t="str">
        <f>"Suministro de materiales y  mano de obra para la realizacion de mantenimiento de "&amp;'Aux 3p y Anexo'!B21</f>
        <v xml:space="preserve">Suministro de materiales y  mano de obra para la realizacion de mantenimiento de ARTEFACTOS DE ILUMINACIÓN DE EMBUTIR, MODELO SAVIO, 620X620 MM, DE MARCA PHILIPS O CALIDAD SUPERIOR.
</v>
      </c>
      <c r="D124" s="11" t="s">
        <v>26</v>
      </c>
      <c r="E124" s="11">
        <f>'Aux 3p y Anexo'!C21</f>
        <v>34</v>
      </c>
      <c r="F124" s="14">
        <f t="shared" si="23"/>
        <v>1198.5</v>
      </c>
      <c r="G124" s="14">
        <f t="shared" si="18"/>
        <v>40749</v>
      </c>
      <c r="I124" s="52">
        <v>850</v>
      </c>
      <c r="J124" s="51">
        <f t="shared" si="24"/>
        <v>348.5</v>
      </c>
      <c r="K124" s="51">
        <f t="shared" si="25"/>
        <v>1198.5</v>
      </c>
      <c r="M124" s="179" t="s">
        <v>594</v>
      </c>
      <c r="N124" s="176" t="s">
        <v>595</v>
      </c>
      <c r="O124" s="176" t="s">
        <v>596</v>
      </c>
    </row>
    <row r="125" spans="2:15" ht="72.5" x14ac:dyDescent="0.35">
      <c r="B125" s="11" t="s">
        <v>687</v>
      </c>
      <c r="C125" s="10" t="str">
        <f>"Suministro de materiales y  mano de obra para la realizacion de mantenimiento de "&amp;'Aux 3p y Anexo'!B22</f>
        <v xml:space="preserve">Suministro de materiales y  mano de obra para la realizacion de mantenimiento de ARTEFACTOS DE ILUMINACIÓN DE EMBUTIR, MODELO SAVIO, 620X620 MM, DE MARCA PHILIPS O CALIDAD SUPERIOR. CON EQUIPO DE EMERGENCIA.
</v>
      </c>
      <c r="D125" s="11" t="s">
        <v>26</v>
      </c>
      <c r="E125" s="11">
        <f>'Aux 3p y Anexo'!C22</f>
        <v>14</v>
      </c>
      <c r="F125" s="14">
        <f t="shared" si="23"/>
        <v>1198.5</v>
      </c>
      <c r="G125" s="14">
        <f t="shared" si="18"/>
        <v>16779</v>
      </c>
      <c r="I125" s="52">
        <v>850</v>
      </c>
      <c r="J125" s="51">
        <f t="shared" si="24"/>
        <v>348.5</v>
      </c>
      <c r="K125" s="51">
        <f t="shared" si="25"/>
        <v>1198.5</v>
      </c>
      <c r="M125" s="179" t="s">
        <v>594</v>
      </c>
      <c r="N125" s="176" t="s">
        <v>595</v>
      </c>
      <c r="O125" s="176" t="s">
        <v>596</v>
      </c>
    </row>
    <row r="126" spans="2:15" ht="72.5" x14ac:dyDescent="0.35">
      <c r="B126" s="11" t="s">
        <v>688</v>
      </c>
      <c r="C126" s="10" t="str">
        <f>"Suministro de materiales y  mano de obra para la realizacion de mantenimiento de "&amp;'Aux 3p y Anexo'!B23</f>
        <v xml:space="preserve">Suministro de materiales y  mano de obra para la realizacion de mantenimiento de ARTEFACTOS DE ILUMINACIÓN DE APLICAR, MODELO SAVIO, 620X620 MM, DE MARCA PHILIPS O CALIDAD SUPERIOR.
</v>
      </c>
      <c r="D126" s="11" t="s">
        <v>26</v>
      </c>
      <c r="E126" s="11">
        <f>'Aux 3p y Anexo'!C23</f>
        <v>39</v>
      </c>
      <c r="F126" s="14">
        <f t="shared" si="23"/>
        <v>1198.5</v>
      </c>
      <c r="G126" s="14">
        <f t="shared" si="18"/>
        <v>46741.5</v>
      </c>
      <c r="I126" s="52">
        <v>850</v>
      </c>
      <c r="J126" s="51">
        <f t="shared" si="24"/>
        <v>348.5</v>
      </c>
      <c r="K126" s="51">
        <f t="shared" si="25"/>
        <v>1198.5</v>
      </c>
      <c r="M126" s="179" t="s">
        <v>594</v>
      </c>
      <c r="N126" s="176" t="s">
        <v>595</v>
      </c>
      <c r="O126" s="176" t="s">
        <v>596</v>
      </c>
    </row>
    <row r="127" spans="2:15" ht="58" x14ac:dyDescent="0.35">
      <c r="B127" s="11" t="s">
        <v>689</v>
      </c>
      <c r="C127" s="10" t="str">
        <f>"Suministro de materiales y  mano de obra para la realizacion de mantenimiento de "&amp;'Aux 3p y Anexo'!B24</f>
        <v>Suministro de materiales y  mano de obra para la realizacion de mantenimiento de ARTEFACTOS DE ILUMINACIÓN DE APLICAR, MODELO SAVIO, 620X620 MM, DE MARCA PHILIPS O CALIDAD SUPERIOR. CON EQUIPO DE EMERGENCIA.</v>
      </c>
      <c r="D127" s="11" t="s">
        <v>26</v>
      </c>
      <c r="E127" s="11">
        <f>'Aux 3p y Anexo'!C24</f>
        <v>22</v>
      </c>
      <c r="F127" s="14">
        <f t="shared" si="23"/>
        <v>1198.5</v>
      </c>
      <c r="G127" s="14">
        <f t="shared" si="18"/>
        <v>26367</v>
      </c>
      <c r="I127" s="52">
        <v>850</v>
      </c>
      <c r="J127" s="51">
        <f t="shared" si="24"/>
        <v>348.5</v>
      </c>
      <c r="K127" s="51">
        <f t="shared" si="25"/>
        <v>1198.5</v>
      </c>
      <c r="M127" s="179" t="s">
        <v>594</v>
      </c>
      <c r="N127" s="176" t="s">
        <v>595</v>
      </c>
      <c r="O127" s="176" t="s">
        <v>596</v>
      </c>
    </row>
    <row r="128" spans="2:15" ht="84" customHeight="1" x14ac:dyDescent="0.35">
      <c r="B128" s="11" t="s">
        <v>690</v>
      </c>
      <c r="C128" s="10" t="str">
        <f>"Suministro de materiales y  mano de obra para la realizacion de mantenimiento de "&amp;'Aux 3p y Anexo'!B25</f>
        <v xml:space="preserve">Suministro de materiales y  mano de obra para la realizacion de mantenimiento de ARTEFACTOS DE ILUMINACIÓN DE EMBUTIR, MODELO GREEN SPACE GEN 3, DIAMETRO:203 MM, DE MARCA PHILIPS O CALIDAD SUPERIOR.
</v>
      </c>
      <c r="D128" s="11" t="s">
        <v>26</v>
      </c>
      <c r="E128" s="11">
        <f>'Aux 3p y Anexo'!C25</f>
        <v>7</v>
      </c>
      <c r="F128" s="14">
        <f t="shared" si="23"/>
        <v>1198.5</v>
      </c>
      <c r="G128" s="14">
        <f t="shared" si="18"/>
        <v>8389.5</v>
      </c>
      <c r="I128" s="52">
        <v>850</v>
      </c>
      <c r="J128" s="51">
        <f t="shared" si="24"/>
        <v>348.5</v>
      </c>
      <c r="K128" s="51">
        <f t="shared" si="25"/>
        <v>1198.5</v>
      </c>
      <c r="M128" s="179" t="s">
        <v>594</v>
      </c>
      <c r="N128" s="176" t="s">
        <v>595</v>
      </c>
      <c r="O128" s="176" t="s">
        <v>596</v>
      </c>
    </row>
    <row r="129" spans="2:15" ht="58" x14ac:dyDescent="0.35">
      <c r="B129" s="11" t="s">
        <v>691</v>
      </c>
      <c r="C129" s="10" t="str">
        <f>"Suministro de materiales y  mano de obra para la realizacion de mantenimiento de "&amp;'Aux 3p y Anexo'!B26</f>
        <v>Suministro de materiales y  mano de obra para la realizacion de mantenimiento de ARTEFACTOS DE ILUMINACIÓN DE EMBUTIR, MODELO GREEN SPACE GEN 3, DIAMETRO:203 MM, DE MARCA PHILIPS O CALIDAD SUPERIOR. CON EQUIPO DE EMERGENCIA</v>
      </c>
      <c r="D129" s="11" t="s">
        <v>26</v>
      </c>
      <c r="E129" s="11">
        <f>'Aux 3p y Anexo'!C26</f>
        <v>4</v>
      </c>
      <c r="F129" s="14">
        <f t="shared" si="23"/>
        <v>1198.5</v>
      </c>
      <c r="G129" s="14">
        <f t="shared" si="18"/>
        <v>4794</v>
      </c>
      <c r="I129" s="52">
        <v>850</v>
      </c>
      <c r="J129" s="51">
        <f t="shared" si="24"/>
        <v>348.5</v>
      </c>
      <c r="K129" s="51">
        <f t="shared" si="25"/>
        <v>1198.5</v>
      </c>
      <c r="M129" s="179" t="s">
        <v>594</v>
      </c>
      <c r="N129" s="176" t="s">
        <v>595</v>
      </c>
      <c r="O129" s="176" t="s">
        <v>596</v>
      </c>
    </row>
    <row r="130" spans="2:15" ht="81" customHeight="1" x14ac:dyDescent="0.35">
      <c r="B130" s="11" t="s">
        <v>692</v>
      </c>
      <c r="C130" s="10" t="str">
        <f>"Suministro de materiales y  mano de obra para la realizacion de mantenimiento de "&amp;'Aux 3p y Anexo'!B27</f>
        <v xml:space="preserve">Suministro de materiales y  mano de obra para la realizacion de mantenimiento de ARTEFACTOS DE ILUMINACIÓN DE APLICAR, MODELO DOBLO BIDIRECCIONAL LED, MARCA LUCCIOLA O CALIDAD SUPERIOR.
</v>
      </c>
      <c r="D130" s="11" t="s">
        <v>26</v>
      </c>
      <c r="E130" s="11">
        <f>'Aux 3p y Anexo'!C27</f>
        <v>32</v>
      </c>
      <c r="F130" s="14">
        <f t="shared" si="23"/>
        <v>1198.5</v>
      </c>
      <c r="G130" s="14">
        <f t="shared" si="18"/>
        <v>38352</v>
      </c>
      <c r="I130" s="52">
        <v>850</v>
      </c>
      <c r="J130" s="51">
        <f t="shared" si="24"/>
        <v>348.5</v>
      </c>
      <c r="K130" s="51">
        <f t="shared" si="25"/>
        <v>1198.5</v>
      </c>
      <c r="M130" s="179" t="s">
        <v>594</v>
      </c>
      <c r="N130" s="176" t="s">
        <v>595</v>
      </c>
      <c r="O130" s="176" t="s">
        <v>596</v>
      </c>
    </row>
    <row r="131" spans="2:15" ht="58" x14ac:dyDescent="0.35">
      <c r="B131" s="11" t="s">
        <v>693</v>
      </c>
      <c r="C131" s="10" t="str">
        <f>"Suministro de materiales y  mano de obra para la realizacion de mantenimiento de "&amp;'Aux 3p y Anexo'!B28</f>
        <v xml:space="preserve">Suministro de materiales y  mano de obra para la realizacion de mantenimiento de ARTEFACTOS DE ILUMINACIÓN DE APLICAR EXTERIOR, MODELO GYM 2080. MARCA LUCCIOLA O CALIDAD SUPERIOR. </v>
      </c>
      <c r="D131" s="11" t="s">
        <v>26</v>
      </c>
      <c r="E131" s="11">
        <f>'Aux 3p y Anexo'!C28</f>
        <v>5</v>
      </c>
      <c r="F131" s="14">
        <f t="shared" si="23"/>
        <v>1198.5</v>
      </c>
      <c r="G131" s="14">
        <f t="shared" si="18"/>
        <v>5992.5</v>
      </c>
      <c r="I131" s="52">
        <v>850</v>
      </c>
      <c r="J131" s="51">
        <f t="shared" si="24"/>
        <v>348.5</v>
      </c>
      <c r="K131" s="51">
        <f t="shared" si="25"/>
        <v>1198.5</v>
      </c>
      <c r="M131" s="179" t="s">
        <v>594</v>
      </c>
      <c r="N131" s="176" t="s">
        <v>595</v>
      </c>
      <c r="O131" s="176" t="s">
        <v>596</v>
      </c>
    </row>
    <row r="132" spans="2:15" ht="58" x14ac:dyDescent="0.35">
      <c r="B132" s="11" t="s">
        <v>694</v>
      </c>
      <c r="C132" s="10" t="str">
        <f>"Suministro de materiales y  mano de obra para la realizacion de mantenimiento de "&amp;'Aux 3p y Anexo'!B29</f>
        <v>Suministro de materiales y  mano de obra para la realizacion de mantenimiento de ARTEFACTOS DE ILUMINACIÓN DE APLICAR EXTERIOR, MODELO GYM 2080. MARCA LUCCIOLA O CALIDAD SUPERIOR. CON EQUIPO DE EMERGENCIA</v>
      </c>
      <c r="D132" s="11" t="s">
        <v>26</v>
      </c>
      <c r="E132" s="11">
        <f>'Aux 3p y Anexo'!C29</f>
        <v>2</v>
      </c>
      <c r="F132" s="14">
        <f t="shared" si="23"/>
        <v>1198.5</v>
      </c>
      <c r="G132" s="14">
        <f t="shared" si="18"/>
        <v>2397</v>
      </c>
      <c r="I132" s="52">
        <v>850</v>
      </c>
      <c r="J132" s="51">
        <f t="shared" si="24"/>
        <v>348.5</v>
      </c>
      <c r="K132" s="51">
        <f t="shared" si="25"/>
        <v>1198.5</v>
      </c>
      <c r="M132" s="179" t="s">
        <v>594</v>
      </c>
      <c r="N132" s="176" t="s">
        <v>595</v>
      </c>
      <c r="O132" s="176" t="s">
        <v>596</v>
      </c>
    </row>
    <row r="133" spans="2:15" ht="72.5" x14ac:dyDescent="0.35">
      <c r="B133" s="11" t="s">
        <v>695</v>
      </c>
      <c r="C133" s="10" t="str">
        <f>"Suministro de materiales y  mano de obra para la realizacion de mantenimiento de "&amp;'Aux 3p y Anexo'!B30</f>
        <v xml:space="preserve">Suministro de materiales y  mano de obra para la realizacion de mantenimiento de ARTEFACTOS DE ILUMINACIÓN DE APLICAR, MODELO TMS-P SLIM/LED TUBE, LONGITUD: 1200MM, DE MARCA PHILIPS O CALIDAD SUPERIOR.
</v>
      </c>
      <c r="D133" s="11" t="s">
        <v>26</v>
      </c>
      <c r="E133" s="11">
        <f>'Aux 3p y Anexo'!C30</f>
        <v>25</v>
      </c>
      <c r="F133" s="14">
        <f t="shared" si="23"/>
        <v>1198.5</v>
      </c>
      <c r="G133" s="14">
        <f t="shared" si="18"/>
        <v>29962.5</v>
      </c>
      <c r="I133" s="52">
        <v>850</v>
      </c>
      <c r="J133" s="51">
        <f t="shared" si="24"/>
        <v>348.5</v>
      </c>
      <c r="K133" s="51">
        <f t="shared" si="25"/>
        <v>1198.5</v>
      </c>
      <c r="M133" s="179" t="s">
        <v>594</v>
      </c>
      <c r="N133" s="176" t="s">
        <v>595</v>
      </c>
      <c r="O133" s="176" t="s">
        <v>596</v>
      </c>
    </row>
    <row r="134" spans="2:15" ht="72.5" x14ac:dyDescent="0.35">
      <c r="B134" s="11" t="s">
        <v>696</v>
      </c>
      <c r="C134" s="10" t="str">
        <f>"Suministro de materiales y  mano de obra para la realizacion de mantenimiento de "&amp;'Aux 3p y Anexo'!B31</f>
        <v xml:space="preserve">Suministro de materiales y  mano de obra para la realizacion de mantenimiento de ARTEFACTOS DE ILUMINACIÓN DE APLICAR, MODELO eW CORE MX Powercore, MEDIDAS: 1200x40mm. MARCA PHILIPS O CALIDAD SUPERIOR.
</v>
      </c>
      <c r="D134" s="11" t="s">
        <v>26</v>
      </c>
      <c r="E134" s="11">
        <f>'Aux 3p y Anexo'!C31</f>
        <v>50</v>
      </c>
      <c r="F134" s="14">
        <f t="shared" si="23"/>
        <v>1198.5</v>
      </c>
      <c r="G134" s="14">
        <f t="shared" si="18"/>
        <v>59925</v>
      </c>
      <c r="I134" s="52">
        <v>850</v>
      </c>
      <c r="J134" s="51">
        <f t="shared" si="24"/>
        <v>348.5</v>
      </c>
      <c r="K134" s="51">
        <f t="shared" si="25"/>
        <v>1198.5</v>
      </c>
      <c r="M134" s="179" t="s">
        <v>594</v>
      </c>
      <c r="N134" s="176" t="s">
        <v>595</v>
      </c>
      <c r="O134" s="176" t="s">
        <v>596</v>
      </c>
    </row>
    <row r="135" spans="2:15" ht="58" x14ac:dyDescent="0.35">
      <c r="B135" s="11" t="s">
        <v>697</v>
      </c>
      <c r="C135" s="10" t="str">
        <f>"Suministro de materiales y  mano de obra para la realizacion de mantenimiento de "&amp;'Aux 3p y Anexo'!B32</f>
        <v>Suministro de materiales y  mano de obra para la realizacion de mantenimiento de ARTEFACTOS DE ILUMINACIÓN DE APLICAR, MODELO eW CORE MX Powercore, MEDIDAS: 1200x40mm. MARCA PHILIPS O CALIDAD SUPERIOR. CON EQUIPO DE EMERGENCIA</v>
      </c>
      <c r="D135" s="11" t="s">
        <v>26</v>
      </c>
      <c r="E135" s="11">
        <f>'Aux 3p y Anexo'!C32</f>
        <v>17</v>
      </c>
      <c r="F135" s="14">
        <f t="shared" si="23"/>
        <v>1198.5</v>
      </c>
      <c r="G135" s="14">
        <f t="shared" si="18"/>
        <v>20374.5</v>
      </c>
      <c r="I135" s="52">
        <v>850</v>
      </c>
      <c r="J135" s="51">
        <f t="shared" si="24"/>
        <v>348.5</v>
      </c>
      <c r="K135" s="51">
        <f t="shared" si="25"/>
        <v>1198.5</v>
      </c>
      <c r="M135" s="179" t="s">
        <v>594</v>
      </c>
      <c r="N135" s="176" t="s">
        <v>595</v>
      </c>
      <c r="O135" s="176" t="s">
        <v>596</v>
      </c>
    </row>
    <row r="136" spans="2:15" ht="58" x14ac:dyDescent="0.35">
      <c r="B136" s="11" t="s">
        <v>698</v>
      </c>
      <c r="C136" s="10" t="str">
        <f>"Suministro de materiales y  mano de obra para la realizacion de mantenimiento de "&amp;'Aux 3p y Anexo'!B33</f>
        <v>Suministro de materiales y  mano de obra para la realizacion de mantenimiento de ARTEFACTO DE ILUMINACION DE APLICAR, MODELO SAVIO, 1259X266 MM, MARCA PHILIPS O CALIDAD SUPERIOR</v>
      </c>
      <c r="D136" s="11" t="s">
        <v>26</v>
      </c>
      <c r="E136" s="11">
        <f>'Aux 3p y Anexo'!C33</f>
        <v>48</v>
      </c>
      <c r="F136" s="14">
        <f t="shared" si="23"/>
        <v>1198.5</v>
      </c>
      <c r="G136" s="14">
        <f t="shared" si="18"/>
        <v>57528</v>
      </c>
      <c r="I136" s="52">
        <v>850</v>
      </c>
      <c r="J136" s="51">
        <f t="shared" si="24"/>
        <v>348.5</v>
      </c>
      <c r="K136" s="51">
        <f t="shared" si="25"/>
        <v>1198.5</v>
      </c>
      <c r="M136" s="179" t="s">
        <v>594</v>
      </c>
      <c r="N136" s="176" t="s">
        <v>595</v>
      </c>
      <c r="O136" s="176" t="s">
        <v>596</v>
      </c>
    </row>
    <row r="137" spans="2:15" ht="58" x14ac:dyDescent="0.35">
      <c r="B137" s="11" t="s">
        <v>699</v>
      </c>
      <c r="C137" s="10" t="str">
        <f>"Suministro de materiales y  mano de obra para la realizacion de mantenimiento de "&amp;'Aux 3p y Anexo'!B34</f>
        <v>Suministro de materiales y  mano de obra para la realizacion de mantenimiento de ARTEFACTO DE ILUMINACION DE APLICAR, MODELO SAVIO, 1259X266 MM, MARCA PHILIPS O CALIDAD SUPERIOR. CON EQUIPO DE EMERGENCIA</v>
      </c>
      <c r="D137" s="11" t="s">
        <v>26</v>
      </c>
      <c r="E137" s="11">
        <f>'Aux 3p y Anexo'!C34</f>
        <v>24</v>
      </c>
      <c r="F137" s="14">
        <f t="shared" si="23"/>
        <v>1198.5</v>
      </c>
      <c r="G137" s="14">
        <f t="shared" ref="G137:G143" si="26">E137*F137</f>
        <v>28764</v>
      </c>
      <c r="I137" s="52">
        <v>850</v>
      </c>
      <c r="J137" s="51">
        <f t="shared" si="24"/>
        <v>348.5</v>
      </c>
      <c r="K137" s="51">
        <f t="shared" si="25"/>
        <v>1198.5</v>
      </c>
      <c r="M137" s="179" t="s">
        <v>594</v>
      </c>
      <c r="N137" s="176" t="s">
        <v>595</v>
      </c>
      <c r="O137" s="176" t="s">
        <v>596</v>
      </c>
    </row>
    <row r="138" spans="2:15" ht="58" x14ac:dyDescent="0.35">
      <c r="B138" s="11" t="s">
        <v>700</v>
      </c>
      <c r="C138" s="10" t="str">
        <f>"Suministro de materiales y  mano de obra para la realizacion de mantenimiento de "&amp;'Aux 3p y Anexo'!B35</f>
        <v>Suministro de materiales y  mano de obra para la realizacion de mantenimiento de ARTEFACTO DE ILUMINACION DE EMBUTIR, MODELO SMARTFORM, línea de luz, TBS417. MARCA PHILIPS O CALIDAD SUPERIOR</v>
      </c>
      <c r="D138" s="11" t="s">
        <v>26</v>
      </c>
      <c r="E138" s="11">
        <f>'Aux 3p y Anexo'!C35</f>
        <v>157</v>
      </c>
      <c r="F138" s="14">
        <f t="shared" si="23"/>
        <v>1198.5</v>
      </c>
      <c r="G138" s="14">
        <f t="shared" si="26"/>
        <v>188164.5</v>
      </c>
      <c r="I138" s="52">
        <v>850</v>
      </c>
      <c r="J138" s="51">
        <f t="shared" si="24"/>
        <v>348.5</v>
      </c>
      <c r="K138" s="51">
        <f t="shared" si="25"/>
        <v>1198.5</v>
      </c>
      <c r="M138" s="179" t="s">
        <v>594</v>
      </c>
      <c r="N138" s="176" t="s">
        <v>595</v>
      </c>
      <c r="O138" s="176" t="s">
        <v>596</v>
      </c>
    </row>
    <row r="139" spans="2:15" ht="58" x14ac:dyDescent="0.35">
      <c r="B139" s="11" t="s">
        <v>701</v>
      </c>
      <c r="C139" s="10" t="str">
        <f>"Suministro de materiales y  mano de obra para la realizacion de mantenimiento de "&amp;'Aux 3p y Anexo'!B36</f>
        <v>Suministro de materiales y  mano de obra para la realizacion de mantenimiento de ARTEFACTO DE ILUMINACION DE EMBUTIR, MODELO SMARTFORM, línea de luz, TBS417. MARCA PHILIPS O CALIDAD SUPERIOR. CON EQUIPO DE EMERGENCIA</v>
      </c>
      <c r="D139" s="11" t="s">
        <v>26</v>
      </c>
      <c r="E139" s="11">
        <f>'Aux 3p y Anexo'!C36</f>
        <v>41</v>
      </c>
      <c r="F139" s="14">
        <f t="shared" si="23"/>
        <v>1198.5</v>
      </c>
      <c r="G139" s="14">
        <f t="shared" si="26"/>
        <v>49138.5</v>
      </c>
      <c r="I139" s="52">
        <v>850</v>
      </c>
      <c r="J139" s="51">
        <f t="shared" si="24"/>
        <v>348.5</v>
      </c>
      <c r="K139" s="51">
        <f t="shared" si="25"/>
        <v>1198.5</v>
      </c>
      <c r="M139" s="179" t="s">
        <v>594</v>
      </c>
      <c r="N139" s="176" t="s">
        <v>595</v>
      </c>
      <c r="O139" s="176" t="s">
        <v>596</v>
      </c>
    </row>
    <row r="140" spans="2:15" ht="58" x14ac:dyDescent="0.35">
      <c r="B140" s="11" t="s">
        <v>702</v>
      </c>
      <c r="C140" s="10" t="str">
        <f>"Suministro de materiales y  mano de obra para la realizacion de mantenimiento de "&amp;'Aux 3p y Anexo'!B37</f>
        <v>Suministro de materiales y  mano de obra para la realizacion de mantenimiento de ARTEFACTO DE ILUMINACIÓN DE COLGAR, MODELO SKIVE, MARCA PHILIPS O CALIDAD SUPERIOR. DIAMETRO:700MM</v>
      </c>
      <c r="D140" s="11" t="s">
        <v>26</v>
      </c>
      <c r="E140" s="11">
        <f>'Aux 3p y Anexo'!C37</f>
        <v>36</v>
      </c>
      <c r="F140" s="14">
        <f t="shared" si="23"/>
        <v>1198.5</v>
      </c>
      <c r="G140" s="14">
        <f t="shared" si="26"/>
        <v>43146</v>
      </c>
      <c r="I140" s="52">
        <v>850</v>
      </c>
      <c r="J140" s="51">
        <f t="shared" si="24"/>
        <v>348.5</v>
      </c>
      <c r="K140" s="51">
        <f t="shared" si="25"/>
        <v>1198.5</v>
      </c>
      <c r="M140" s="179" t="s">
        <v>594</v>
      </c>
      <c r="N140" s="176" t="s">
        <v>595</v>
      </c>
      <c r="O140" s="176" t="s">
        <v>596</v>
      </c>
    </row>
    <row r="141" spans="2:15" ht="58" x14ac:dyDescent="0.35">
      <c r="B141" s="11" t="s">
        <v>703</v>
      </c>
      <c r="C141" s="10" t="str">
        <f>"Suministro de materiales y  mano de obra para la realizacion de mantenimiento de "&amp;'Aux 3p y Anexo'!B38</f>
        <v>Suministro de materiales y  mano de obra para la realizacion de mantenimiento de ARTEFACTO DE ILUMINACIÓN DE COLGAR, MODELO SKIVE, MARCA PHILIPS O CALIDAD SUPERIOR. DIAMETRO:700MM. CON EQUIPO DE EMERGENCIA</v>
      </c>
      <c r="D141" s="11" t="s">
        <v>26</v>
      </c>
      <c r="E141" s="11">
        <f>'Aux 3p y Anexo'!C38</f>
        <v>18</v>
      </c>
      <c r="F141" s="14">
        <f t="shared" si="23"/>
        <v>1198.5</v>
      </c>
      <c r="G141" s="14">
        <f t="shared" si="26"/>
        <v>21573</v>
      </c>
      <c r="I141" s="52">
        <v>850</v>
      </c>
      <c r="J141" s="51">
        <f t="shared" si="24"/>
        <v>348.5</v>
      </c>
      <c r="K141" s="51">
        <f t="shared" si="25"/>
        <v>1198.5</v>
      </c>
      <c r="M141" s="179" t="s">
        <v>594</v>
      </c>
      <c r="N141" s="176" t="s">
        <v>595</v>
      </c>
      <c r="O141" s="176" t="s">
        <v>596</v>
      </c>
    </row>
    <row r="142" spans="2:15" ht="43.5" x14ac:dyDescent="0.35">
      <c r="B142" s="11" t="s">
        <v>704</v>
      </c>
      <c r="C142" s="10" t="str">
        <f>"Suministro de materiales y  mano de obra para la realizacion de mantenimiento de "&amp;'Aux 3p y Anexo'!B39</f>
        <v>Suministro de materiales y  mano de obra para la realizacion de mantenimiento de ARTEFACTOS DE ILUMINACIÓN DE APLICAR, MODELO PLAFÓN 31802 LED,  MARCA PHILIPS O CALIDAD SUPERIOR</v>
      </c>
      <c r="D142" s="11" t="s">
        <v>26</v>
      </c>
      <c r="E142" s="11">
        <f>'Aux 3p y Anexo'!C39</f>
        <v>61</v>
      </c>
      <c r="F142" s="14">
        <f t="shared" si="23"/>
        <v>1198.5</v>
      </c>
      <c r="G142" s="14">
        <f t="shared" si="26"/>
        <v>73108.5</v>
      </c>
      <c r="I142" s="52">
        <v>850</v>
      </c>
      <c r="J142" s="51">
        <f t="shared" si="24"/>
        <v>348.5</v>
      </c>
      <c r="K142" s="51">
        <f t="shared" si="25"/>
        <v>1198.5</v>
      </c>
      <c r="M142" s="179" t="s">
        <v>594</v>
      </c>
      <c r="N142" s="176" t="s">
        <v>595</v>
      </c>
      <c r="O142" s="176" t="s">
        <v>596</v>
      </c>
    </row>
    <row r="143" spans="2:15" ht="58" x14ac:dyDescent="0.35">
      <c r="B143" s="11" t="s">
        <v>705</v>
      </c>
      <c r="C143" s="10" t="str">
        <f>"Suministro de materiales y  mano de obra para la realizacion de mantenimiento de "&amp;'Aux 3p y Anexo'!B40</f>
        <v>Suministro de materiales y  mano de obra para la realizacion de mantenimiento de ARTEFACTOS DE ILUMINACIÓN DE APLICAR, MODELO PLAFÓN 31802 LED,  MARCA PHILIPS O CALIDAD SUPERIOR. CON EQUIPO DE EMERGENCIA.</v>
      </c>
      <c r="D143" s="11" t="s">
        <v>26</v>
      </c>
      <c r="E143" s="11">
        <f>'Aux 3p y Anexo'!C40</f>
        <v>25</v>
      </c>
      <c r="F143" s="14">
        <f t="shared" si="23"/>
        <v>1198.5</v>
      </c>
      <c r="G143" s="14">
        <f t="shared" si="26"/>
        <v>29962.5</v>
      </c>
      <c r="I143" s="52">
        <v>850</v>
      </c>
      <c r="J143" s="51">
        <f t="shared" si="24"/>
        <v>348.5</v>
      </c>
      <c r="K143" s="51">
        <f t="shared" si="25"/>
        <v>1198.5</v>
      </c>
      <c r="M143" s="179" t="s">
        <v>594</v>
      </c>
      <c r="N143" s="176" t="s">
        <v>595</v>
      </c>
      <c r="O143" s="176" t="s">
        <v>596</v>
      </c>
    </row>
    <row r="144" spans="2:15" ht="15" thickBot="1" x14ac:dyDescent="0.4">
      <c r="B144" s="161"/>
      <c r="C144" s="162"/>
      <c r="D144" s="65"/>
      <c r="E144" s="65"/>
      <c r="F144" s="152"/>
      <c r="G144" s="163"/>
      <c r="I144" s="117"/>
      <c r="J144" s="118"/>
      <c r="K144" s="118"/>
    </row>
    <row r="145" spans="2:15" ht="29.5" thickBot="1" x14ac:dyDescent="0.4">
      <c r="B145" s="7" t="s">
        <v>259</v>
      </c>
      <c r="C145" s="8" t="s">
        <v>2</v>
      </c>
      <c r="D145" s="8" t="s">
        <v>3</v>
      </c>
      <c r="E145" s="8" t="s">
        <v>4</v>
      </c>
      <c r="F145" s="55" t="s">
        <v>79</v>
      </c>
      <c r="G145" s="56" t="s">
        <v>5</v>
      </c>
      <c r="H145" s="24"/>
      <c r="J145" s="46"/>
      <c r="K145" s="46"/>
      <c r="L145" s="24"/>
    </row>
    <row r="146" spans="2:15" x14ac:dyDescent="0.35">
      <c r="B146" s="151">
        <v>4</v>
      </c>
      <c r="C146" s="156" t="s">
        <v>12</v>
      </c>
      <c r="D146" s="11" t="s">
        <v>26</v>
      </c>
      <c r="E146" s="62">
        <v>1</v>
      </c>
      <c r="F146" s="158">
        <f>SUM(G147:G177)</f>
        <v>4557134.0999999996</v>
      </c>
      <c r="G146" s="158">
        <f>E146*F146</f>
        <v>4557134.0999999996</v>
      </c>
      <c r="H146" s="46"/>
      <c r="J146" s="46"/>
      <c r="K146" s="46"/>
      <c r="L146" s="46">
        <f>SUM(K147:K177)</f>
        <v>149533.32</v>
      </c>
    </row>
    <row r="147" spans="2:15" x14ac:dyDescent="0.35">
      <c r="B147" s="9" t="s">
        <v>706</v>
      </c>
      <c r="C147" s="10" t="s">
        <v>237</v>
      </c>
      <c r="D147" s="11" t="s">
        <v>13</v>
      </c>
      <c r="E147" s="49">
        <v>800</v>
      </c>
      <c r="F147" s="57">
        <f t="shared" ref="F147:F169" si="27">K147</f>
        <v>493.5</v>
      </c>
      <c r="G147" s="15">
        <f>E147*F147</f>
        <v>394800</v>
      </c>
      <c r="I147" s="50">
        <v>350</v>
      </c>
      <c r="J147" s="53">
        <f t="shared" ref="J147:J177" si="28">I147*$I$2</f>
        <v>143.5</v>
      </c>
      <c r="K147" s="53">
        <f t="shared" si="7"/>
        <v>493.5</v>
      </c>
      <c r="M147" s="178" t="s">
        <v>605</v>
      </c>
      <c r="N147" s="177" t="s">
        <v>606</v>
      </c>
      <c r="O147" s="177" t="s">
        <v>607</v>
      </c>
    </row>
    <row r="148" spans="2:15" x14ac:dyDescent="0.35">
      <c r="B148" s="9" t="s">
        <v>707</v>
      </c>
      <c r="C148" s="10" t="s">
        <v>236</v>
      </c>
      <c r="D148" s="11" t="s">
        <v>13</v>
      </c>
      <c r="E148" s="49">
        <v>60</v>
      </c>
      <c r="F148" s="14">
        <f t="shared" si="27"/>
        <v>987</v>
      </c>
      <c r="G148" s="15">
        <f t="shared" ref="G148:G177" si="29">E148*F148</f>
        <v>59220</v>
      </c>
      <c r="I148" s="50">
        <v>700</v>
      </c>
      <c r="J148" s="53">
        <f t="shared" si="28"/>
        <v>287</v>
      </c>
      <c r="K148" s="53">
        <f t="shared" si="7"/>
        <v>987</v>
      </c>
      <c r="M148" s="179" t="s">
        <v>599</v>
      </c>
      <c r="N148" s="176" t="s">
        <v>600</v>
      </c>
      <c r="O148" s="176" t="s">
        <v>593</v>
      </c>
    </row>
    <row r="149" spans="2:15" x14ac:dyDescent="0.35">
      <c r="B149" s="9" t="s">
        <v>708</v>
      </c>
      <c r="C149" s="10" t="s">
        <v>14</v>
      </c>
      <c r="D149" s="11" t="s">
        <v>7</v>
      </c>
      <c r="E149" s="49">
        <v>10</v>
      </c>
      <c r="F149" s="14">
        <f t="shared" si="27"/>
        <v>4935</v>
      </c>
      <c r="G149" s="15">
        <f t="shared" si="29"/>
        <v>49350</v>
      </c>
      <c r="I149" s="50">
        <v>3500</v>
      </c>
      <c r="J149" s="53">
        <f t="shared" si="28"/>
        <v>1435</v>
      </c>
      <c r="K149" s="53">
        <f t="shared" si="7"/>
        <v>4935</v>
      </c>
      <c r="M149" s="178" t="s">
        <v>608</v>
      </c>
      <c r="N149" s="177" t="s">
        <v>609</v>
      </c>
      <c r="O149" s="177" t="s">
        <v>596</v>
      </c>
    </row>
    <row r="150" spans="2:15" x14ac:dyDescent="0.35">
      <c r="B150" s="9" t="s">
        <v>709</v>
      </c>
      <c r="C150" s="10" t="s">
        <v>15</v>
      </c>
      <c r="D150" s="11" t="s">
        <v>13</v>
      </c>
      <c r="E150" s="49">
        <v>60</v>
      </c>
      <c r="F150" s="14">
        <f t="shared" si="27"/>
        <v>2256</v>
      </c>
      <c r="G150" s="15">
        <f t="shared" si="29"/>
        <v>135360</v>
      </c>
      <c r="I150" s="50">
        <v>1600</v>
      </c>
      <c r="J150" s="53">
        <f t="shared" si="28"/>
        <v>656</v>
      </c>
      <c r="K150" s="53">
        <f t="shared" si="7"/>
        <v>2256</v>
      </c>
      <c r="M150" s="179" t="s">
        <v>599</v>
      </c>
      <c r="N150" s="176" t="s">
        <v>600</v>
      </c>
      <c r="O150" s="176" t="s">
        <v>593</v>
      </c>
    </row>
    <row r="151" spans="2:15" x14ac:dyDescent="0.35">
      <c r="B151" s="9" t="s">
        <v>710</v>
      </c>
      <c r="C151" s="10" t="s">
        <v>16</v>
      </c>
      <c r="D151" s="11" t="s">
        <v>13</v>
      </c>
      <c r="E151" s="49">
        <v>60</v>
      </c>
      <c r="F151" s="14">
        <f t="shared" si="27"/>
        <v>2397</v>
      </c>
      <c r="G151" s="15">
        <f t="shared" si="29"/>
        <v>143820</v>
      </c>
      <c r="I151" s="50">
        <f>1700</f>
        <v>1700</v>
      </c>
      <c r="J151" s="53">
        <f t="shared" si="28"/>
        <v>697</v>
      </c>
      <c r="K151" s="53">
        <f t="shared" si="7"/>
        <v>2397</v>
      </c>
      <c r="M151" s="179" t="s">
        <v>610</v>
      </c>
      <c r="N151" s="176" t="s">
        <v>611</v>
      </c>
      <c r="O151" s="176" t="s">
        <v>593</v>
      </c>
    </row>
    <row r="152" spans="2:15" x14ac:dyDescent="0.35">
      <c r="B152" s="9" t="s">
        <v>711</v>
      </c>
      <c r="C152" s="10" t="s">
        <v>17</v>
      </c>
      <c r="D152" s="11" t="s">
        <v>13</v>
      </c>
      <c r="E152" s="49">
        <v>30</v>
      </c>
      <c r="F152" s="14">
        <f t="shared" si="27"/>
        <v>2115</v>
      </c>
      <c r="G152" s="15">
        <f t="shared" si="29"/>
        <v>63450</v>
      </c>
      <c r="I152" s="50">
        <v>1500</v>
      </c>
      <c r="J152" s="53">
        <f t="shared" si="28"/>
        <v>615</v>
      </c>
      <c r="K152" s="53">
        <f t="shared" si="7"/>
        <v>2115</v>
      </c>
      <c r="M152" s="179" t="s">
        <v>599</v>
      </c>
      <c r="N152" s="176" t="s">
        <v>600</v>
      </c>
      <c r="O152" s="176" t="s">
        <v>593</v>
      </c>
    </row>
    <row r="153" spans="2:15" x14ac:dyDescent="0.35">
      <c r="B153" s="9" t="s">
        <v>712</v>
      </c>
      <c r="C153" s="10" t="s">
        <v>18</v>
      </c>
      <c r="D153" s="11" t="s">
        <v>13</v>
      </c>
      <c r="E153" s="49">
        <f>+E152</f>
        <v>30</v>
      </c>
      <c r="F153" s="14">
        <f t="shared" si="27"/>
        <v>2820</v>
      </c>
      <c r="G153" s="15">
        <f t="shared" si="29"/>
        <v>84600</v>
      </c>
      <c r="I153" s="50">
        <v>2000</v>
      </c>
      <c r="J153" s="53">
        <f t="shared" si="28"/>
        <v>820</v>
      </c>
      <c r="K153" s="53">
        <f t="shared" si="7"/>
        <v>2820</v>
      </c>
      <c r="M153" s="179" t="s">
        <v>599</v>
      </c>
      <c r="N153" s="176" t="s">
        <v>600</v>
      </c>
      <c r="O153" s="176" t="s">
        <v>593</v>
      </c>
    </row>
    <row r="154" spans="2:15" x14ac:dyDescent="0.35">
      <c r="B154" s="9" t="s">
        <v>713</v>
      </c>
      <c r="C154" s="10" t="s">
        <v>19</v>
      </c>
      <c r="D154" s="11" t="s">
        <v>13</v>
      </c>
      <c r="E154" s="49">
        <f>+E153</f>
        <v>30</v>
      </c>
      <c r="F154" s="14">
        <f t="shared" si="27"/>
        <v>3525</v>
      </c>
      <c r="G154" s="15">
        <f t="shared" si="29"/>
        <v>105750</v>
      </c>
      <c r="I154" s="50">
        <v>2500</v>
      </c>
      <c r="J154" s="53">
        <f t="shared" si="28"/>
        <v>1025</v>
      </c>
      <c r="K154" s="53">
        <f t="shared" si="7"/>
        <v>3525</v>
      </c>
      <c r="M154" s="179" t="s">
        <v>599</v>
      </c>
      <c r="N154" s="176" t="s">
        <v>600</v>
      </c>
      <c r="O154" s="176" t="s">
        <v>593</v>
      </c>
    </row>
    <row r="155" spans="2:15" x14ac:dyDescent="0.35">
      <c r="B155" s="9" t="s">
        <v>714</v>
      </c>
      <c r="C155" s="10" t="s">
        <v>20</v>
      </c>
      <c r="D155" s="11" t="s">
        <v>13</v>
      </c>
      <c r="E155" s="49">
        <f>+E154</f>
        <v>30</v>
      </c>
      <c r="F155" s="14">
        <f t="shared" si="27"/>
        <v>2820</v>
      </c>
      <c r="G155" s="15">
        <f t="shared" si="29"/>
        <v>84600</v>
      </c>
      <c r="I155" s="50">
        <v>2000</v>
      </c>
      <c r="J155" s="53">
        <f t="shared" si="28"/>
        <v>820</v>
      </c>
      <c r="K155" s="53">
        <f t="shared" si="7"/>
        <v>2820</v>
      </c>
      <c r="M155" s="179" t="s">
        <v>599</v>
      </c>
      <c r="N155" s="176" t="s">
        <v>600</v>
      </c>
      <c r="O155" s="176" t="s">
        <v>593</v>
      </c>
    </row>
    <row r="156" spans="2:15" x14ac:dyDescent="0.35">
      <c r="B156" s="9" t="s">
        <v>715</v>
      </c>
      <c r="C156" s="10" t="s">
        <v>21</v>
      </c>
      <c r="D156" s="11" t="s">
        <v>13</v>
      </c>
      <c r="E156" s="49">
        <v>300</v>
      </c>
      <c r="F156" s="14">
        <f t="shared" si="27"/>
        <v>916.5</v>
      </c>
      <c r="G156" s="15">
        <f t="shared" si="29"/>
        <v>274950</v>
      </c>
      <c r="I156" s="50">
        <v>650</v>
      </c>
      <c r="J156" s="53">
        <f t="shared" si="28"/>
        <v>266.5</v>
      </c>
      <c r="K156" s="53">
        <f t="shared" si="7"/>
        <v>916.5</v>
      </c>
      <c r="M156" s="179" t="s">
        <v>599</v>
      </c>
      <c r="N156" s="176" t="s">
        <v>600</v>
      </c>
      <c r="O156" s="176" t="s">
        <v>593</v>
      </c>
    </row>
    <row r="157" spans="2:15" x14ac:dyDescent="0.35">
      <c r="B157" s="9" t="s">
        <v>716</v>
      </c>
      <c r="C157" s="10" t="s">
        <v>22</v>
      </c>
      <c r="D157" s="11" t="s">
        <v>23</v>
      </c>
      <c r="E157" s="49">
        <v>8</v>
      </c>
      <c r="F157" s="14">
        <f t="shared" si="27"/>
        <v>6627</v>
      </c>
      <c r="G157" s="15">
        <f t="shared" si="29"/>
        <v>53016</v>
      </c>
      <c r="I157" s="50">
        <v>4700</v>
      </c>
      <c r="J157" s="53">
        <f t="shared" si="28"/>
        <v>1926.9999999999998</v>
      </c>
      <c r="K157" s="53">
        <f t="shared" si="7"/>
        <v>6627</v>
      </c>
      <c r="M157" s="179" t="s">
        <v>612</v>
      </c>
      <c r="N157" s="176" t="s">
        <v>613</v>
      </c>
      <c r="O157" s="176" t="s">
        <v>588</v>
      </c>
    </row>
    <row r="158" spans="2:15" ht="30.65" customHeight="1" x14ac:dyDescent="0.35">
      <c r="B158" s="9" t="s">
        <v>717</v>
      </c>
      <c r="C158" s="10" t="s">
        <v>24</v>
      </c>
      <c r="D158" s="11" t="s">
        <v>23</v>
      </c>
      <c r="E158" s="49">
        <v>100</v>
      </c>
      <c r="F158" s="14">
        <f t="shared" si="27"/>
        <v>296.10000000000002</v>
      </c>
      <c r="G158" s="15">
        <f t="shared" si="29"/>
        <v>29610.000000000004</v>
      </c>
      <c r="I158" s="50">
        <v>210</v>
      </c>
      <c r="J158" s="53">
        <f t="shared" si="28"/>
        <v>86.1</v>
      </c>
      <c r="K158" s="53">
        <f t="shared" si="7"/>
        <v>296.10000000000002</v>
      </c>
      <c r="M158" s="179" t="s">
        <v>614</v>
      </c>
      <c r="N158" s="176" t="s">
        <v>615</v>
      </c>
      <c r="O158" s="176" t="s">
        <v>596</v>
      </c>
    </row>
    <row r="159" spans="2:15" x14ac:dyDescent="0.35">
      <c r="B159" s="9" t="s">
        <v>718</v>
      </c>
      <c r="C159" s="10" t="s">
        <v>25</v>
      </c>
      <c r="D159" s="11" t="s">
        <v>26</v>
      </c>
      <c r="E159" s="49">
        <v>4</v>
      </c>
      <c r="F159" s="14">
        <f t="shared" si="27"/>
        <v>21150</v>
      </c>
      <c r="G159" s="15">
        <f t="shared" si="29"/>
        <v>84600</v>
      </c>
      <c r="I159" s="50">
        <v>15000</v>
      </c>
      <c r="J159" s="53">
        <f t="shared" si="28"/>
        <v>6150</v>
      </c>
      <c r="K159" s="53">
        <f t="shared" si="7"/>
        <v>21150</v>
      </c>
      <c r="M159" s="179" t="s">
        <v>599</v>
      </c>
      <c r="N159" s="176" t="s">
        <v>600</v>
      </c>
      <c r="O159" s="176" t="s">
        <v>593</v>
      </c>
    </row>
    <row r="160" spans="2:15" x14ac:dyDescent="0.35">
      <c r="B160" s="9" t="s">
        <v>719</v>
      </c>
      <c r="C160" s="10" t="s">
        <v>27</v>
      </c>
      <c r="D160" s="11" t="s">
        <v>26</v>
      </c>
      <c r="E160" s="49">
        <v>180</v>
      </c>
      <c r="F160" s="14">
        <f t="shared" si="27"/>
        <v>59.22</v>
      </c>
      <c r="G160" s="15">
        <f t="shared" si="29"/>
        <v>10659.6</v>
      </c>
      <c r="I160" s="50">
        <v>42</v>
      </c>
      <c r="J160" s="53">
        <f t="shared" si="28"/>
        <v>17.22</v>
      </c>
      <c r="K160" s="53">
        <f t="shared" si="7"/>
        <v>59.22</v>
      </c>
      <c r="M160" s="179" t="s">
        <v>599</v>
      </c>
      <c r="N160" s="176" t="s">
        <v>600</v>
      </c>
      <c r="O160" s="176" t="s">
        <v>593</v>
      </c>
    </row>
    <row r="161" spans="2:15" ht="29" x14ac:dyDescent="0.35">
      <c r="B161" s="9" t="s">
        <v>720</v>
      </c>
      <c r="C161" s="10" t="s">
        <v>28</v>
      </c>
      <c r="D161" s="11" t="s">
        <v>26</v>
      </c>
      <c r="E161" s="49">
        <v>10</v>
      </c>
      <c r="F161" s="14">
        <f t="shared" si="27"/>
        <v>4935</v>
      </c>
      <c r="G161" s="15">
        <f t="shared" si="29"/>
        <v>49350</v>
      </c>
      <c r="I161" s="50">
        <v>3500</v>
      </c>
      <c r="J161" s="53">
        <f t="shared" si="28"/>
        <v>1435</v>
      </c>
      <c r="K161" s="53">
        <f t="shared" si="7"/>
        <v>4935</v>
      </c>
      <c r="M161" s="179" t="s">
        <v>599</v>
      </c>
      <c r="N161" s="176" t="s">
        <v>600</v>
      </c>
      <c r="O161" s="176" t="s">
        <v>593</v>
      </c>
    </row>
    <row r="162" spans="2:15" ht="29" x14ac:dyDescent="0.35">
      <c r="B162" s="9" t="s">
        <v>721</v>
      </c>
      <c r="C162" s="10" t="s">
        <v>29</v>
      </c>
      <c r="D162" s="11" t="s">
        <v>26</v>
      </c>
      <c r="E162" s="49">
        <v>10</v>
      </c>
      <c r="F162" s="14">
        <f t="shared" si="27"/>
        <v>3948</v>
      </c>
      <c r="G162" s="15">
        <f t="shared" si="29"/>
        <v>39480</v>
      </c>
      <c r="I162" s="50">
        <v>2800</v>
      </c>
      <c r="J162" s="53">
        <f t="shared" si="28"/>
        <v>1148</v>
      </c>
      <c r="K162" s="53">
        <f t="shared" si="7"/>
        <v>3948</v>
      </c>
      <c r="M162" s="179" t="s">
        <v>616</v>
      </c>
      <c r="N162" s="176" t="s">
        <v>587</v>
      </c>
      <c r="O162" s="176" t="s">
        <v>588</v>
      </c>
    </row>
    <row r="163" spans="2:15" x14ac:dyDescent="0.35">
      <c r="B163" s="9" t="s">
        <v>722</v>
      </c>
      <c r="C163" s="21" t="s">
        <v>391</v>
      </c>
      <c r="D163" s="11" t="s">
        <v>26</v>
      </c>
      <c r="E163" s="49">
        <v>10</v>
      </c>
      <c r="F163" s="14">
        <f t="shared" si="27"/>
        <v>3948</v>
      </c>
      <c r="G163" s="15">
        <f t="shared" si="29"/>
        <v>39480</v>
      </c>
      <c r="I163" s="50">
        <v>2800</v>
      </c>
      <c r="J163" s="53">
        <f t="shared" si="28"/>
        <v>1148</v>
      </c>
      <c r="K163" s="53">
        <f t="shared" si="7"/>
        <v>3948</v>
      </c>
      <c r="M163" s="178" t="s">
        <v>617</v>
      </c>
      <c r="N163" s="177" t="s">
        <v>618</v>
      </c>
      <c r="O163" s="177" t="s">
        <v>596</v>
      </c>
    </row>
    <row r="164" spans="2:15" x14ac:dyDescent="0.35">
      <c r="B164" s="9" t="s">
        <v>723</v>
      </c>
      <c r="C164" s="21" t="s">
        <v>392</v>
      </c>
      <c r="D164" s="11" t="s">
        <v>26</v>
      </c>
      <c r="E164" s="49">
        <v>10</v>
      </c>
      <c r="F164" s="14">
        <f t="shared" si="27"/>
        <v>7755</v>
      </c>
      <c r="G164" s="15">
        <f t="shared" si="29"/>
        <v>77550</v>
      </c>
      <c r="I164" s="50">
        <v>5500</v>
      </c>
      <c r="J164" s="53">
        <f t="shared" si="28"/>
        <v>2255</v>
      </c>
      <c r="K164" s="53">
        <f t="shared" si="7"/>
        <v>7755</v>
      </c>
      <c r="M164" s="178" t="s">
        <v>617</v>
      </c>
      <c r="N164" s="177" t="s">
        <v>618</v>
      </c>
      <c r="O164" s="177" t="s">
        <v>596</v>
      </c>
    </row>
    <row r="165" spans="2:15" ht="29" x14ac:dyDescent="0.35">
      <c r="B165" s="9" t="s">
        <v>724</v>
      </c>
      <c r="C165" s="21" t="s">
        <v>393</v>
      </c>
      <c r="D165" s="11" t="s">
        <v>81</v>
      </c>
      <c r="E165" s="49">
        <f>2*10*30*4</f>
        <v>2400</v>
      </c>
      <c r="F165" s="14">
        <f t="shared" si="27"/>
        <v>352.5</v>
      </c>
      <c r="G165" s="15">
        <f t="shared" si="29"/>
        <v>846000</v>
      </c>
      <c r="I165" s="50">
        <v>250</v>
      </c>
      <c r="J165" s="53">
        <f t="shared" si="28"/>
        <v>102.5</v>
      </c>
      <c r="K165" s="53">
        <f t="shared" si="7"/>
        <v>352.5</v>
      </c>
      <c r="M165" s="179" t="s">
        <v>599</v>
      </c>
      <c r="N165" s="176" t="s">
        <v>600</v>
      </c>
      <c r="O165" s="176" t="s">
        <v>593</v>
      </c>
    </row>
    <row r="166" spans="2:15" ht="43.5" x14ac:dyDescent="0.35">
      <c r="B166" s="9" t="s">
        <v>725</v>
      </c>
      <c r="C166" s="21" t="s">
        <v>394</v>
      </c>
      <c r="D166" s="11" t="s">
        <v>81</v>
      </c>
      <c r="E166" s="49">
        <f>2*10*30*4</f>
        <v>2400</v>
      </c>
      <c r="F166" s="14">
        <f t="shared" si="27"/>
        <v>493.5</v>
      </c>
      <c r="G166" s="15">
        <f t="shared" si="29"/>
        <v>1184400</v>
      </c>
      <c r="I166" s="50">
        <v>350</v>
      </c>
      <c r="J166" s="53">
        <f t="shared" si="28"/>
        <v>143.5</v>
      </c>
      <c r="K166" s="53">
        <f t="shared" si="7"/>
        <v>493.5</v>
      </c>
      <c r="M166" s="179" t="s">
        <v>599</v>
      </c>
      <c r="N166" s="176" t="s">
        <v>600</v>
      </c>
      <c r="O166" s="176" t="s">
        <v>593</v>
      </c>
    </row>
    <row r="167" spans="2:15" ht="29" x14ac:dyDescent="0.35">
      <c r="B167" s="9" t="s">
        <v>726</v>
      </c>
      <c r="C167" s="21" t="s">
        <v>395</v>
      </c>
      <c r="D167" s="11" t="s">
        <v>26</v>
      </c>
      <c r="E167" s="49">
        <v>10</v>
      </c>
      <c r="F167" s="14">
        <f t="shared" si="27"/>
        <v>493.5</v>
      </c>
      <c r="G167" s="15">
        <f t="shared" si="29"/>
        <v>4935</v>
      </c>
      <c r="I167" s="50">
        <v>350</v>
      </c>
      <c r="J167" s="53">
        <f t="shared" si="28"/>
        <v>143.5</v>
      </c>
      <c r="K167" s="53">
        <f t="shared" ref="K167:K176" si="30">I167+J167</f>
        <v>493.5</v>
      </c>
      <c r="M167" s="179" t="s">
        <v>599</v>
      </c>
      <c r="N167" s="176" t="s">
        <v>600</v>
      </c>
      <c r="O167" s="176" t="s">
        <v>593</v>
      </c>
    </row>
    <row r="168" spans="2:15" ht="29" x14ac:dyDescent="0.35">
      <c r="B168" s="9" t="s">
        <v>727</v>
      </c>
      <c r="C168" s="21" t="s">
        <v>396</v>
      </c>
      <c r="D168" s="11" t="s">
        <v>26</v>
      </c>
      <c r="E168" s="49">
        <v>5</v>
      </c>
      <c r="F168" s="14">
        <f t="shared" si="27"/>
        <v>1339.5</v>
      </c>
      <c r="G168" s="15">
        <f t="shared" si="29"/>
        <v>6697.5</v>
      </c>
      <c r="I168" s="50">
        <v>950</v>
      </c>
      <c r="J168" s="53">
        <f t="shared" si="28"/>
        <v>389.5</v>
      </c>
      <c r="K168" s="53">
        <f t="shared" si="30"/>
        <v>1339.5</v>
      </c>
      <c r="M168" s="179" t="s">
        <v>599</v>
      </c>
      <c r="N168" s="176" t="s">
        <v>600</v>
      </c>
      <c r="O168" s="176" t="s">
        <v>593</v>
      </c>
    </row>
    <row r="169" spans="2:15" x14ac:dyDescent="0.35">
      <c r="B169" s="9" t="s">
        <v>728</v>
      </c>
      <c r="C169" s="21" t="s">
        <v>80</v>
      </c>
      <c r="D169" s="11" t="s">
        <v>81</v>
      </c>
      <c r="E169" s="49">
        <v>250</v>
      </c>
      <c r="F169" s="14">
        <f t="shared" si="27"/>
        <v>775.5</v>
      </c>
      <c r="G169" s="15">
        <f t="shared" si="29"/>
        <v>193875</v>
      </c>
      <c r="I169" s="50">
        <v>550</v>
      </c>
      <c r="J169" s="53">
        <f t="shared" si="28"/>
        <v>225.5</v>
      </c>
      <c r="K169" s="53">
        <f t="shared" si="30"/>
        <v>775.5</v>
      </c>
      <c r="M169" s="179" t="s">
        <v>599</v>
      </c>
      <c r="N169" s="176" t="s">
        <v>600</v>
      </c>
      <c r="O169" s="176" t="s">
        <v>593</v>
      </c>
    </row>
    <row r="170" spans="2:15" x14ac:dyDescent="0.35">
      <c r="B170" s="9" t="s">
        <v>729</v>
      </c>
      <c r="C170" s="21" t="s">
        <v>82</v>
      </c>
      <c r="D170" s="11" t="s">
        <v>81</v>
      </c>
      <c r="E170" s="49">
        <v>200</v>
      </c>
      <c r="F170" s="14">
        <f t="shared" ref="F170:F175" si="31">K170</f>
        <v>1339.5</v>
      </c>
      <c r="G170" s="15">
        <f t="shared" si="29"/>
        <v>267900</v>
      </c>
      <c r="I170" s="50">
        <v>950</v>
      </c>
      <c r="J170" s="53">
        <f t="shared" si="28"/>
        <v>389.5</v>
      </c>
      <c r="K170" s="53">
        <f t="shared" si="30"/>
        <v>1339.5</v>
      </c>
      <c r="M170" s="178" t="s">
        <v>619</v>
      </c>
      <c r="N170" s="177" t="s">
        <v>620</v>
      </c>
      <c r="O170" s="177" t="s">
        <v>621</v>
      </c>
    </row>
    <row r="171" spans="2:15" ht="29" x14ac:dyDescent="0.35">
      <c r="B171" s="9" t="s">
        <v>730</v>
      </c>
      <c r="C171" s="35" t="s">
        <v>397</v>
      </c>
      <c r="D171" s="11" t="s">
        <v>26</v>
      </c>
      <c r="E171" s="23">
        <v>1</v>
      </c>
      <c r="F171" s="14">
        <f t="shared" si="31"/>
        <v>18894</v>
      </c>
      <c r="G171" s="15">
        <f t="shared" si="29"/>
        <v>18894</v>
      </c>
      <c r="I171" s="50">
        <v>13400</v>
      </c>
      <c r="J171" s="53">
        <f t="shared" si="28"/>
        <v>5494</v>
      </c>
      <c r="K171" s="53">
        <f t="shared" si="30"/>
        <v>18894</v>
      </c>
      <c r="M171" s="179" t="s">
        <v>599</v>
      </c>
      <c r="N171" s="176" t="s">
        <v>600</v>
      </c>
      <c r="O171" s="176" t="s">
        <v>593</v>
      </c>
    </row>
    <row r="172" spans="2:15" ht="29" x14ac:dyDescent="0.35">
      <c r="B172" s="9" t="s">
        <v>731</v>
      </c>
      <c r="C172" s="35" t="s">
        <v>398</v>
      </c>
      <c r="D172" s="11" t="s">
        <v>26</v>
      </c>
      <c r="E172" s="23">
        <v>1</v>
      </c>
      <c r="F172" s="14">
        <f t="shared" si="31"/>
        <v>15792</v>
      </c>
      <c r="G172" s="15">
        <f t="shared" si="29"/>
        <v>15792</v>
      </c>
      <c r="I172" s="50">
        <v>11200</v>
      </c>
      <c r="J172" s="53">
        <f t="shared" si="28"/>
        <v>4592</v>
      </c>
      <c r="K172" s="53">
        <f t="shared" si="30"/>
        <v>15792</v>
      </c>
      <c r="M172" s="179" t="s">
        <v>599</v>
      </c>
      <c r="N172" s="176" t="s">
        <v>600</v>
      </c>
      <c r="O172" s="176" t="s">
        <v>593</v>
      </c>
    </row>
    <row r="173" spans="2:15" ht="29" x14ac:dyDescent="0.35">
      <c r="B173" s="9" t="s">
        <v>732</v>
      </c>
      <c r="C173" s="36" t="s">
        <v>399</v>
      </c>
      <c r="D173" s="11" t="s">
        <v>26</v>
      </c>
      <c r="E173" s="23">
        <v>1</v>
      </c>
      <c r="F173" s="14">
        <f t="shared" si="31"/>
        <v>11985</v>
      </c>
      <c r="G173" s="15">
        <f t="shared" si="29"/>
        <v>11985</v>
      </c>
      <c r="I173" s="50">
        <v>8500</v>
      </c>
      <c r="J173" s="53">
        <f t="shared" si="28"/>
        <v>3485</v>
      </c>
      <c r="K173" s="53">
        <f t="shared" si="30"/>
        <v>11985</v>
      </c>
      <c r="M173" s="179" t="s">
        <v>599</v>
      </c>
      <c r="N173" s="176" t="s">
        <v>600</v>
      </c>
      <c r="O173" s="176" t="s">
        <v>593</v>
      </c>
    </row>
    <row r="174" spans="2:15" ht="72.5" x14ac:dyDescent="0.35">
      <c r="B174" s="9" t="s">
        <v>733</v>
      </c>
      <c r="C174" s="21" t="s">
        <v>400</v>
      </c>
      <c r="D174" s="11" t="s">
        <v>26</v>
      </c>
      <c r="E174" s="23">
        <v>15</v>
      </c>
      <c r="F174" s="14">
        <f t="shared" si="31"/>
        <v>3525</v>
      </c>
      <c r="G174" s="15">
        <f t="shared" si="29"/>
        <v>52875</v>
      </c>
      <c r="I174" s="50">
        <v>2500</v>
      </c>
      <c r="J174" s="53">
        <f t="shared" si="28"/>
        <v>1025</v>
      </c>
      <c r="K174" s="53">
        <f t="shared" si="30"/>
        <v>3525</v>
      </c>
      <c r="M174" s="179" t="s">
        <v>594</v>
      </c>
      <c r="N174" s="176" t="s">
        <v>595</v>
      </c>
      <c r="O174" s="176" t="s">
        <v>596</v>
      </c>
    </row>
    <row r="175" spans="2:15" ht="72.5" x14ac:dyDescent="0.35">
      <c r="B175" s="9" t="s">
        <v>734</v>
      </c>
      <c r="C175" s="21" t="s">
        <v>401</v>
      </c>
      <c r="D175" s="32" t="s">
        <v>26</v>
      </c>
      <c r="E175" s="23">
        <v>15</v>
      </c>
      <c r="F175" s="14">
        <f t="shared" si="31"/>
        <v>4230</v>
      </c>
      <c r="G175" s="15">
        <f t="shared" si="29"/>
        <v>63450</v>
      </c>
      <c r="I175" s="50">
        <v>3000</v>
      </c>
      <c r="J175" s="53">
        <f t="shared" si="28"/>
        <v>1230</v>
      </c>
      <c r="K175" s="53">
        <f t="shared" si="30"/>
        <v>4230</v>
      </c>
      <c r="M175" s="179" t="s">
        <v>594</v>
      </c>
      <c r="N175" s="176" t="s">
        <v>595</v>
      </c>
      <c r="O175" s="176" t="s">
        <v>596</v>
      </c>
    </row>
    <row r="176" spans="2:15" ht="72.5" x14ac:dyDescent="0.35">
      <c r="B176" s="9" t="s">
        <v>735</v>
      </c>
      <c r="C176" s="21" t="s">
        <v>402</v>
      </c>
      <c r="D176" s="32" t="s">
        <v>26</v>
      </c>
      <c r="E176" s="23">
        <v>8</v>
      </c>
      <c r="F176" s="14">
        <f>K176</f>
        <v>6345</v>
      </c>
      <c r="G176" s="15">
        <f t="shared" si="29"/>
        <v>50760</v>
      </c>
      <c r="H176" t="s">
        <v>175</v>
      </c>
      <c r="I176" s="50">
        <v>4500</v>
      </c>
      <c r="J176" s="53">
        <f t="shared" si="28"/>
        <v>1845</v>
      </c>
      <c r="K176" s="53">
        <f t="shared" si="30"/>
        <v>6345</v>
      </c>
      <c r="L176" t="s">
        <v>175</v>
      </c>
      <c r="M176" s="179" t="s">
        <v>594</v>
      </c>
      <c r="N176" s="176" t="s">
        <v>595</v>
      </c>
      <c r="O176" s="176" t="s">
        <v>596</v>
      </c>
    </row>
    <row r="177" spans="1:15" ht="101.5" x14ac:dyDescent="0.35">
      <c r="B177" s="9" t="s">
        <v>736</v>
      </c>
      <c r="C177" s="21" t="s">
        <v>403</v>
      </c>
      <c r="D177" s="32" t="s">
        <v>26</v>
      </c>
      <c r="E177" s="23">
        <v>5</v>
      </c>
      <c r="F177" s="14">
        <f>K177</f>
        <v>11985</v>
      </c>
      <c r="G177" s="15">
        <f t="shared" si="29"/>
        <v>59925</v>
      </c>
      <c r="I177" s="50">
        <v>8500</v>
      </c>
      <c r="J177" s="53">
        <f t="shared" si="28"/>
        <v>3485</v>
      </c>
      <c r="K177" s="53">
        <f t="shared" ref="K177" si="32">I177+J177</f>
        <v>11985</v>
      </c>
      <c r="M177" s="179" t="s">
        <v>594</v>
      </c>
      <c r="N177" s="176" t="s">
        <v>595</v>
      </c>
      <c r="O177" s="176" t="s">
        <v>596</v>
      </c>
    </row>
    <row r="180" spans="1:15" x14ac:dyDescent="0.35">
      <c r="A180" s="120"/>
      <c r="B180" s="120"/>
      <c r="C180" s="120"/>
      <c r="D180" s="120"/>
      <c r="E180" s="120"/>
      <c r="F180" s="121"/>
      <c r="G180" s="121"/>
      <c r="H180" s="120"/>
    </row>
    <row r="181" spans="1:15" ht="19" thickBot="1" x14ac:dyDescent="0.5">
      <c r="B181" s="119" t="s">
        <v>372</v>
      </c>
      <c r="E181" s="5"/>
    </row>
    <row r="182" spans="1:15" ht="30" customHeight="1" thickBot="1" x14ac:dyDescent="0.4">
      <c r="B182" s="143" t="str">
        <f t="shared" ref="B182:C184" si="33">B9</f>
        <v>1.01</v>
      </c>
      <c r="C182" s="236" t="str">
        <f t="shared" si="33"/>
        <v>Oferta por servicio de Limpieza Tecnica según PET</v>
      </c>
      <c r="D182" s="237"/>
      <c r="E182" s="237"/>
      <c r="F182" s="238"/>
      <c r="G182" s="160">
        <f>G197</f>
        <v>9012196.0998429712</v>
      </c>
    </row>
    <row r="183" spans="1:15" ht="30" customHeight="1" thickBot="1" x14ac:dyDescent="0.4">
      <c r="B183" s="143" t="str">
        <f t="shared" si="33"/>
        <v>1.02</v>
      </c>
      <c r="C183" s="236" t="str">
        <f t="shared" si="33"/>
        <v>Oferta por servicio de mantenimiento predictivo, preventivo y correctivo, según PET</v>
      </c>
      <c r="D183" s="237"/>
      <c r="E183" s="237"/>
      <c r="F183" s="238"/>
      <c r="G183" s="160">
        <f>G198</f>
        <v>21028457.566300265</v>
      </c>
    </row>
    <row r="184" spans="1:15" ht="30" customHeight="1" thickBot="1" x14ac:dyDescent="0.4">
      <c r="B184" s="143" t="str">
        <f t="shared" si="33"/>
        <v>1.03</v>
      </c>
      <c r="C184" s="236" t="str">
        <f t="shared" si="33"/>
        <v>Oferta por servicio de reposicion inmediata.</v>
      </c>
      <c r="D184" s="237"/>
      <c r="E184" s="237"/>
      <c r="F184" s="238"/>
      <c r="G184" s="160">
        <f>G199</f>
        <v>2016787.9896117575</v>
      </c>
    </row>
    <row r="185" spans="1:15" ht="30" customHeight="1" thickBot="1" x14ac:dyDescent="0.4">
      <c r="B185" s="143">
        <f t="shared" ref="B185:C187" si="34">B13</f>
        <v>2</v>
      </c>
      <c r="C185" s="236" t="str">
        <f t="shared" si="34"/>
        <v>Servicio de implementacion de elementos de reposicion inmediata (según listado desglozado del item1.03)</v>
      </c>
      <c r="D185" s="237"/>
      <c r="E185" s="237"/>
      <c r="F185" s="238"/>
      <c r="G185" s="160">
        <f>G239</f>
        <v>1479396.4475361079</v>
      </c>
    </row>
    <row r="186" spans="1:15" ht="30" customHeight="1" thickBot="1" x14ac:dyDescent="0.4">
      <c r="B186" s="143">
        <f t="shared" si="34"/>
        <v>3</v>
      </c>
      <c r="C186" s="236" t="str">
        <f t="shared" si="34"/>
        <v>Adicional de activo fijo a incorporar al contrato de mantenimiento integral</v>
      </c>
      <c r="D186" s="237"/>
      <c r="E186" s="237"/>
      <c r="F186" s="238"/>
      <c r="G186" s="160">
        <f>G276</f>
        <v>1429425.4118310772</v>
      </c>
    </row>
    <row r="187" spans="1:15" ht="30" customHeight="1" thickBot="1" x14ac:dyDescent="0.4">
      <c r="B187" s="143">
        <f t="shared" si="34"/>
        <v>4</v>
      </c>
      <c r="C187" s="236" t="str">
        <f t="shared" si="34"/>
        <v>Tareas sobre demanda - Mantenimiento Integral</v>
      </c>
      <c r="D187" s="237"/>
      <c r="E187" s="237"/>
      <c r="F187" s="238"/>
      <c r="G187" s="160">
        <f>G317</f>
        <v>4719257.5977242542</v>
      </c>
    </row>
    <row r="188" spans="1:15" ht="30" customHeight="1" thickBot="1" x14ac:dyDescent="0.4">
      <c r="B188" s="126"/>
      <c r="C188" s="127"/>
      <c r="D188" s="128"/>
      <c r="E188" s="126"/>
      <c r="F188" s="129"/>
      <c r="G188" s="129"/>
    </row>
    <row r="189" spans="1:15" ht="30" customHeight="1" thickBot="1" x14ac:dyDescent="0.4">
      <c r="B189" s="130" t="s">
        <v>30</v>
      </c>
      <c r="C189" s="131"/>
      <c r="D189" s="132"/>
      <c r="E189" s="132"/>
      <c r="F189" s="133"/>
      <c r="G189" s="134">
        <f>SUM(G182:G187)</f>
        <v>39685521.112846427</v>
      </c>
    </row>
    <row r="190" spans="1:15" ht="30" customHeight="1" thickBot="1" x14ac:dyDescent="0.4">
      <c r="B190" s="135" t="s">
        <v>31</v>
      </c>
      <c r="C190" s="136"/>
      <c r="D190" s="137"/>
      <c r="E190" s="137"/>
      <c r="F190" s="138"/>
      <c r="G190" s="134">
        <f>G189*21%</f>
        <v>8333959.4336977489</v>
      </c>
    </row>
    <row r="191" spans="1:15" ht="30" customHeight="1" thickBot="1" x14ac:dyDescent="0.4">
      <c r="B191" s="139" t="s">
        <v>32</v>
      </c>
      <c r="C191" s="140"/>
      <c r="D191" s="141"/>
      <c r="E191" s="140"/>
      <c r="F191" s="142"/>
      <c r="G191" s="134">
        <f>G189+G190</f>
        <v>48019480.546544179</v>
      </c>
    </row>
    <row r="192" spans="1:15" x14ac:dyDescent="0.35">
      <c r="B192" s="6"/>
      <c r="E192" s="5"/>
    </row>
    <row r="193" spans="2:11" x14ac:dyDescent="0.35">
      <c r="I193" s="239" t="s">
        <v>741</v>
      </c>
      <c r="J193" s="239"/>
      <c r="K193" s="239"/>
    </row>
    <row r="194" spans="2:11" ht="15.75" customHeight="1" x14ac:dyDescent="0.35">
      <c r="B194" s="234" t="s">
        <v>367</v>
      </c>
      <c r="C194" s="234"/>
      <c r="D194" s="234"/>
      <c r="E194" s="234"/>
      <c r="F194" s="234"/>
      <c r="G194" s="234"/>
    </row>
    <row r="195" spans="2:11" ht="16.5" customHeight="1" x14ac:dyDescent="0.35">
      <c r="B195" s="153">
        <v>1</v>
      </c>
      <c r="C195" s="154" t="s">
        <v>233</v>
      </c>
      <c r="D195" s="154"/>
      <c r="E195" s="153"/>
      <c r="F195" s="155"/>
      <c r="G195" s="155"/>
      <c r="H195" s="46"/>
      <c r="I195" s="48" t="s">
        <v>192</v>
      </c>
      <c r="J195" s="48" t="s">
        <v>193</v>
      </c>
      <c r="K195" s="48" t="s">
        <v>194</v>
      </c>
    </row>
    <row r="196" spans="2:11" x14ac:dyDescent="0.35">
      <c r="B196" s="151" t="s">
        <v>259</v>
      </c>
      <c r="C196" s="151" t="s">
        <v>2</v>
      </c>
      <c r="D196" s="151" t="s">
        <v>3</v>
      </c>
      <c r="E196" s="151" t="s">
        <v>4</v>
      </c>
      <c r="F196" s="159" t="s">
        <v>72</v>
      </c>
      <c r="G196" s="159" t="s">
        <v>5</v>
      </c>
      <c r="H196" s="46"/>
      <c r="I196" s="48"/>
      <c r="J196" s="48"/>
      <c r="K196" s="48"/>
    </row>
    <row r="197" spans="2:11" x14ac:dyDescent="0.35">
      <c r="B197" s="151" t="s">
        <v>6</v>
      </c>
      <c r="C197" s="156" t="s">
        <v>234</v>
      </c>
      <c r="D197" s="151" t="s">
        <v>7</v>
      </c>
      <c r="E197" s="164">
        <f>E26</f>
        <v>12</v>
      </c>
      <c r="F197" s="158">
        <f>K197/12</f>
        <v>751016.34165358089</v>
      </c>
      <c r="G197" s="158">
        <f>E197*F197</f>
        <v>9012196.0998429712</v>
      </c>
      <c r="I197" s="47">
        <f>Estudio!G88*0.3</f>
        <v>9012196.0998429712</v>
      </c>
      <c r="J197" s="47"/>
      <c r="K197" s="47">
        <f>I197+J197</f>
        <v>9012196.0998429712</v>
      </c>
    </row>
    <row r="198" spans="2:11" ht="29" x14ac:dyDescent="0.35">
      <c r="B198" s="151" t="s">
        <v>8</v>
      </c>
      <c r="C198" s="156" t="s">
        <v>235</v>
      </c>
      <c r="D198" s="151" t="s">
        <v>7</v>
      </c>
      <c r="E198" s="164">
        <f>E27</f>
        <v>12</v>
      </c>
      <c r="F198" s="158">
        <f>K198/12</f>
        <v>1752371.4638583555</v>
      </c>
      <c r="G198" s="158">
        <f>E198*F198</f>
        <v>21028457.566300265</v>
      </c>
      <c r="I198" s="47">
        <f>Estudio!G88*0.7</f>
        <v>21028457.566300265</v>
      </c>
      <c r="J198" s="47"/>
      <c r="K198" s="47">
        <f>I198+J198</f>
        <v>21028457.566300265</v>
      </c>
    </row>
    <row r="199" spans="2:11" x14ac:dyDescent="0.35">
      <c r="B199" s="151" t="s">
        <v>443</v>
      </c>
      <c r="C199" s="156" t="s">
        <v>477</v>
      </c>
      <c r="D199" s="151" t="s">
        <v>7</v>
      </c>
      <c r="E199" s="164">
        <f t="shared" ref="E199:E234" si="35">E28</f>
        <v>12</v>
      </c>
      <c r="F199" s="158">
        <f>SUM(G201:G234)/12</f>
        <v>168065.6658009798</v>
      </c>
      <c r="G199" s="158">
        <f>E199*F199</f>
        <v>2016787.9896117575</v>
      </c>
      <c r="H199" s="46"/>
      <c r="K199" s="46"/>
    </row>
    <row r="200" spans="2:11" x14ac:dyDescent="0.35">
      <c r="B200" s="151"/>
      <c r="C200" s="156"/>
      <c r="D200" s="151"/>
      <c r="E200" s="164"/>
      <c r="F200" s="158"/>
      <c r="G200" s="158"/>
      <c r="H200" s="46"/>
      <c r="K200" s="46"/>
    </row>
    <row r="201" spans="2:11" x14ac:dyDescent="0.35">
      <c r="B201" s="62" t="s">
        <v>442</v>
      </c>
      <c r="C201" s="63" t="s">
        <v>379</v>
      </c>
      <c r="D201" s="62" t="s">
        <v>26</v>
      </c>
      <c r="E201" s="164">
        <f t="shared" si="35"/>
        <v>12</v>
      </c>
      <c r="F201" s="14">
        <f>K201</f>
        <v>35761.29001025176</v>
      </c>
      <c r="G201" s="14">
        <f>E201*F201</f>
        <v>429135.48012302112</v>
      </c>
      <c r="I201" s="52">
        <v>25000</v>
      </c>
      <c r="J201" s="51">
        <f>I201*$I$2*$I$4</f>
        <v>10761.290010251763</v>
      </c>
      <c r="K201" s="51">
        <f>I201+J201</f>
        <v>35761.29001025176</v>
      </c>
    </row>
    <row r="202" spans="2:11" ht="29" x14ac:dyDescent="0.35">
      <c r="B202" s="62" t="s">
        <v>444</v>
      </c>
      <c r="C202" s="63" t="s">
        <v>380</v>
      </c>
      <c r="D202" s="62" t="s">
        <v>26</v>
      </c>
      <c r="E202" s="164">
        <f t="shared" si="35"/>
        <v>2</v>
      </c>
      <c r="F202" s="14">
        <f>K202</f>
        <v>30897.754568857526</v>
      </c>
      <c r="G202" s="14">
        <f t="shared" ref="G202:G234" si="36">E202*F202</f>
        <v>61795.509137715053</v>
      </c>
      <c r="I202" s="52">
        <f>1200*$I$1</f>
        <v>21600</v>
      </c>
      <c r="J202" s="51">
        <f t="shared" ref="J202:J234" si="37">I202*$I$2*$I$4</f>
        <v>9297.7545688575246</v>
      </c>
      <c r="K202" s="51">
        <f t="shared" ref="K202:K232" si="38">I202+J202</f>
        <v>30897.754568857526</v>
      </c>
    </row>
    <row r="203" spans="2:11" ht="29" x14ac:dyDescent="0.35">
      <c r="B203" s="62" t="s">
        <v>445</v>
      </c>
      <c r="C203" s="63" t="s">
        <v>381</v>
      </c>
      <c r="D203" s="62" t="s">
        <v>26</v>
      </c>
      <c r="E203" s="164">
        <f t="shared" si="35"/>
        <v>2</v>
      </c>
      <c r="F203" s="14">
        <f>K203</f>
        <v>38622.193211071906</v>
      </c>
      <c r="G203" s="14">
        <f t="shared" si="36"/>
        <v>77244.386422143813</v>
      </c>
      <c r="I203" s="52">
        <f>1500*$I$1</f>
        <v>27000</v>
      </c>
      <c r="J203" s="51">
        <f t="shared" si="37"/>
        <v>11622.193211071904</v>
      </c>
      <c r="K203" s="51">
        <f t="shared" si="38"/>
        <v>38622.193211071906</v>
      </c>
    </row>
    <row r="204" spans="2:11" ht="29" x14ac:dyDescent="0.35">
      <c r="B204" s="62" t="s">
        <v>446</v>
      </c>
      <c r="C204" s="63" t="s">
        <v>382</v>
      </c>
      <c r="D204" s="62" t="s">
        <v>26</v>
      </c>
      <c r="E204" s="164">
        <f t="shared" si="35"/>
        <v>2</v>
      </c>
      <c r="F204" s="14">
        <f t="shared" ref="F204:F232" si="39">K204</f>
        <v>54071.070495500666</v>
      </c>
      <c r="G204" s="14">
        <f t="shared" si="36"/>
        <v>108142.14099100133</v>
      </c>
      <c r="I204" s="52">
        <f>2100*$I$1</f>
        <v>37800</v>
      </c>
      <c r="J204" s="51">
        <f t="shared" si="37"/>
        <v>16271.070495500666</v>
      </c>
      <c r="K204" s="51">
        <f t="shared" si="38"/>
        <v>54071.070495500666</v>
      </c>
    </row>
    <row r="205" spans="2:11" x14ac:dyDescent="0.35">
      <c r="B205" s="62" t="s">
        <v>447</v>
      </c>
      <c r="C205" s="63" t="s">
        <v>195</v>
      </c>
      <c r="D205" s="62" t="s">
        <v>26</v>
      </c>
      <c r="E205" s="164">
        <f t="shared" si="35"/>
        <v>3</v>
      </c>
      <c r="F205" s="14">
        <f t="shared" si="39"/>
        <v>9784.2889468048816</v>
      </c>
      <c r="G205" s="14">
        <f t="shared" si="36"/>
        <v>29352.866840414645</v>
      </c>
      <c r="I205" s="52">
        <f>380*$I$1</f>
        <v>6840</v>
      </c>
      <c r="J205" s="51">
        <f t="shared" si="37"/>
        <v>2944.288946804882</v>
      </c>
      <c r="K205" s="51">
        <f t="shared" si="38"/>
        <v>9784.2889468048816</v>
      </c>
    </row>
    <row r="206" spans="2:11" x14ac:dyDescent="0.35">
      <c r="B206" s="62" t="s">
        <v>448</v>
      </c>
      <c r="C206" s="63" t="s">
        <v>196</v>
      </c>
      <c r="D206" s="62" t="s">
        <v>26</v>
      </c>
      <c r="E206" s="164">
        <f t="shared" si="35"/>
        <v>5</v>
      </c>
      <c r="F206" s="14">
        <f t="shared" si="39"/>
        <v>12487.842471579916</v>
      </c>
      <c r="G206" s="14">
        <f t="shared" si="36"/>
        <v>62439.212357899582</v>
      </c>
      <c r="I206" s="52">
        <f>485*$I$1</f>
        <v>8730</v>
      </c>
      <c r="J206" s="51">
        <f t="shared" si="37"/>
        <v>3757.8424715799156</v>
      </c>
      <c r="K206" s="51">
        <f t="shared" si="38"/>
        <v>12487.842471579916</v>
      </c>
    </row>
    <row r="207" spans="2:11" x14ac:dyDescent="0.35">
      <c r="B207" s="62" t="s">
        <v>449</v>
      </c>
      <c r="C207" s="63" t="s">
        <v>197</v>
      </c>
      <c r="D207" s="62" t="s">
        <v>26</v>
      </c>
      <c r="E207" s="164">
        <f t="shared" si="35"/>
        <v>5</v>
      </c>
      <c r="F207" s="14">
        <f t="shared" si="39"/>
        <v>16092.580504613294</v>
      </c>
      <c r="G207" s="14">
        <f t="shared" si="36"/>
        <v>80462.90252306647</v>
      </c>
      <c r="I207" s="52">
        <f>625*$I$1</f>
        <v>11250</v>
      </c>
      <c r="J207" s="51">
        <f t="shared" si="37"/>
        <v>4842.5805046132937</v>
      </c>
      <c r="K207" s="51">
        <f t="shared" si="38"/>
        <v>16092.580504613294</v>
      </c>
    </row>
    <row r="208" spans="2:11" x14ac:dyDescent="0.35">
      <c r="B208" s="62" t="s">
        <v>450</v>
      </c>
      <c r="C208" s="63" t="s">
        <v>198</v>
      </c>
      <c r="D208" s="62" t="s">
        <v>26</v>
      </c>
      <c r="E208" s="164">
        <f t="shared" si="35"/>
        <v>1</v>
      </c>
      <c r="F208" s="14">
        <f t="shared" si="39"/>
        <v>159638.39860576388</v>
      </c>
      <c r="G208" s="14">
        <f t="shared" si="36"/>
        <v>159638.39860576388</v>
      </c>
      <c r="I208" s="52">
        <f>6200*$I$1</f>
        <v>111600</v>
      </c>
      <c r="J208" s="51">
        <f t="shared" si="37"/>
        <v>48038.398605763876</v>
      </c>
      <c r="K208" s="51">
        <f t="shared" si="38"/>
        <v>159638.39860576388</v>
      </c>
    </row>
    <row r="209" spans="2:14" x14ac:dyDescent="0.35">
      <c r="B209" s="62" t="s">
        <v>451</v>
      </c>
      <c r="C209" s="64" t="s">
        <v>85</v>
      </c>
      <c r="D209" s="62" t="s">
        <v>26</v>
      </c>
      <c r="E209" s="164">
        <f t="shared" si="35"/>
        <v>2</v>
      </c>
      <c r="F209" s="14">
        <f t="shared" si="39"/>
        <v>11157.522483198551</v>
      </c>
      <c r="G209" s="14">
        <f t="shared" si="36"/>
        <v>22315.044966397101</v>
      </c>
      <c r="I209" s="52">
        <v>7800</v>
      </c>
      <c r="J209" s="51">
        <f t="shared" si="37"/>
        <v>3357.5224831985502</v>
      </c>
      <c r="K209" s="51">
        <f t="shared" si="38"/>
        <v>11157.522483198551</v>
      </c>
    </row>
    <row r="210" spans="2:14" x14ac:dyDescent="0.35">
      <c r="B210" s="62" t="s">
        <v>452</v>
      </c>
      <c r="C210" s="64" t="s">
        <v>383</v>
      </c>
      <c r="D210" s="62" t="s">
        <v>26</v>
      </c>
      <c r="E210" s="164">
        <f t="shared" si="35"/>
        <v>2</v>
      </c>
      <c r="F210" s="14">
        <f t="shared" si="39"/>
        <v>4863.5354413942396</v>
      </c>
      <c r="G210" s="14">
        <f t="shared" si="36"/>
        <v>9727.0708827884791</v>
      </c>
      <c r="I210" s="52">
        <v>3400</v>
      </c>
      <c r="J210" s="51">
        <f t="shared" si="37"/>
        <v>1463.5354413942398</v>
      </c>
      <c r="K210" s="51">
        <f t="shared" si="38"/>
        <v>4863.5354413942396</v>
      </c>
    </row>
    <row r="211" spans="2:14" x14ac:dyDescent="0.35">
      <c r="B211" s="62" t="s">
        <v>453</v>
      </c>
      <c r="C211" s="63" t="s">
        <v>384</v>
      </c>
      <c r="D211" s="62" t="s">
        <v>26</v>
      </c>
      <c r="E211" s="164">
        <f t="shared" si="35"/>
        <v>5</v>
      </c>
      <c r="F211" s="14">
        <f t="shared" si="39"/>
        <v>17737.599845084875</v>
      </c>
      <c r="G211" s="14">
        <f t="shared" si="36"/>
        <v>88687.99922542437</v>
      </c>
      <c r="I211" s="52">
        <v>12400</v>
      </c>
      <c r="J211" s="51">
        <f t="shared" si="37"/>
        <v>5337.5998450848747</v>
      </c>
      <c r="K211" s="51">
        <f t="shared" si="38"/>
        <v>17737.599845084875</v>
      </c>
      <c r="N211" s="51"/>
    </row>
    <row r="212" spans="2:14" x14ac:dyDescent="0.35">
      <c r="B212" s="62" t="s">
        <v>454</v>
      </c>
      <c r="C212" s="63" t="s">
        <v>385</v>
      </c>
      <c r="D212" s="62" t="s">
        <v>26</v>
      </c>
      <c r="E212" s="164">
        <f t="shared" si="35"/>
        <v>2</v>
      </c>
      <c r="F212" s="14">
        <f t="shared" si="39"/>
        <v>46462.498432919499</v>
      </c>
      <c r="G212" s="14">
        <f t="shared" si="36"/>
        <v>92924.996865838999</v>
      </c>
      <c r="I212" s="52">
        <v>32481</v>
      </c>
      <c r="J212" s="51">
        <f t="shared" si="37"/>
        <v>13981.498432919501</v>
      </c>
      <c r="K212" s="51">
        <f t="shared" si="38"/>
        <v>46462.498432919499</v>
      </c>
    </row>
    <row r="213" spans="2:14" x14ac:dyDescent="0.35">
      <c r="B213" s="62" t="s">
        <v>455</v>
      </c>
      <c r="C213" s="63" t="s">
        <v>386</v>
      </c>
      <c r="D213" s="62" t="s">
        <v>26</v>
      </c>
      <c r="E213" s="164">
        <f t="shared" si="35"/>
        <v>1</v>
      </c>
      <c r="F213" s="14">
        <f t="shared" si="39"/>
        <v>123591.01827543011</v>
      </c>
      <c r="G213" s="14">
        <f t="shared" si="36"/>
        <v>123591.01827543011</v>
      </c>
      <c r="I213" s="14">
        <f>4800*I1</f>
        <v>86400</v>
      </c>
      <c r="J213" s="51">
        <f>I213*$I$2*$I$4</f>
        <v>37191.018275430099</v>
      </c>
      <c r="K213" s="51">
        <f t="shared" si="38"/>
        <v>123591.01827543011</v>
      </c>
    </row>
    <row r="214" spans="2:14" x14ac:dyDescent="0.35">
      <c r="B214" s="62" t="s">
        <v>456</v>
      </c>
      <c r="C214" s="63" t="s">
        <v>199</v>
      </c>
      <c r="D214" s="62" t="s">
        <v>26</v>
      </c>
      <c r="E214" s="164">
        <f t="shared" si="35"/>
        <v>3</v>
      </c>
      <c r="F214" s="14">
        <f t="shared" si="39"/>
        <v>3862.2193211071908</v>
      </c>
      <c r="G214" s="14">
        <f t="shared" si="36"/>
        <v>11586.657963321573</v>
      </c>
      <c r="I214" s="14">
        <f>150*I1</f>
        <v>2700</v>
      </c>
      <c r="J214" s="51">
        <f t="shared" si="37"/>
        <v>1162.2193211071906</v>
      </c>
      <c r="K214" s="51">
        <f t="shared" si="38"/>
        <v>3862.2193211071908</v>
      </c>
    </row>
    <row r="215" spans="2:14" x14ac:dyDescent="0.35">
      <c r="B215" s="62" t="s">
        <v>457</v>
      </c>
      <c r="C215" s="63" t="s">
        <v>200</v>
      </c>
      <c r="D215" s="62" t="s">
        <v>26</v>
      </c>
      <c r="E215" s="164">
        <f t="shared" si="35"/>
        <v>3</v>
      </c>
      <c r="F215" s="14">
        <f t="shared" si="39"/>
        <v>10556.732811026321</v>
      </c>
      <c r="G215" s="14">
        <f t="shared" si="36"/>
        <v>31670.198433078964</v>
      </c>
      <c r="I215" s="14">
        <f>410*I1</f>
        <v>7380</v>
      </c>
      <c r="J215" s="51">
        <f t="shared" si="37"/>
        <v>3176.7328110263202</v>
      </c>
      <c r="K215" s="51">
        <f t="shared" si="38"/>
        <v>10556.732811026321</v>
      </c>
    </row>
    <row r="216" spans="2:14" x14ac:dyDescent="0.35">
      <c r="B216" s="62" t="s">
        <v>458</v>
      </c>
      <c r="C216" s="63" t="s">
        <v>201</v>
      </c>
      <c r="D216" s="62" t="s">
        <v>26</v>
      </c>
      <c r="E216" s="164">
        <f t="shared" si="35"/>
        <v>3</v>
      </c>
      <c r="F216" s="14">
        <f t="shared" si="39"/>
        <v>4505.9225412917222</v>
      </c>
      <c r="G216" s="14">
        <f t="shared" si="36"/>
        <v>13517.767623875166</v>
      </c>
      <c r="I216" s="14">
        <f>175*I1</f>
        <v>3150</v>
      </c>
      <c r="J216" s="51">
        <f t="shared" si="37"/>
        <v>1355.9225412917222</v>
      </c>
      <c r="K216" s="51">
        <f t="shared" si="38"/>
        <v>4505.9225412917222</v>
      </c>
    </row>
    <row r="217" spans="2:14" x14ac:dyDescent="0.35">
      <c r="B217" s="62" t="s">
        <v>459</v>
      </c>
      <c r="C217" s="63" t="s">
        <v>202</v>
      </c>
      <c r="D217" s="62" t="s">
        <v>26</v>
      </c>
      <c r="E217" s="164">
        <f t="shared" si="35"/>
        <v>2</v>
      </c>
      <c r="F217" s="14">
        <f t="shared" si="39"/>
        <v>36819.824194555214</v>
      </c>
      <c r="G217" s="14">
        <f t="shared" si="36"/>
        <v>73639.648389110429</v>
      </c>
      <c r="I217" s="14">
        <f>1430*I1</f>
        <v>25740</v>
      </c>
      <c r="J217" s="51">
        <f t="shared" si="37"/>
        <v>11079.824194555216</v>
      </c>
      <c r="K217" s="51">
        <f t="shared" si="38"/>
        <v>36819.824194555214</v>
      </c>
    </row>
    <row r="218" spans="2:14" x14ac:dyDescent="0.35">
      <c r="B218" s="62" t="s">
        <v>460</v>
      </c>
      <c r="C218" s="63" t="s">
        <v>203</v>
      </c>
      <c r="D218" s="62" t="s">
        <v>26</v>
      </c>
      <c r="E218" s="164">
        <f t="shared" si="35"/>
        <v>2</v>
      </c>
      <c r="F218" s="14">
        <f t="shared" si="39"/>
        <v>47634.038293655351</v>
      </c>
      <c r="G218" s="14">
        <f t="shared" si="36"/>
        <v>95268.076587310701</v>
      </c>
      <c r="I218" s="14">
        <f>1850*I1</f>
        <v>33300</v>
      </c>
      <c r="J218" s="51">
        <f t="shared" si="37"/>
        <v>14334.038293655349</v>
      </c>
      <c r="K218" s="51">
        <f t="shared" si="38"/>
        <v>47634.038293655351</v>
      </c>
    </row>
    <row r="219" spans="2:14" x14ac:dyDescent="0.35">
      <c r="B219" s="62" t="s">
        <v>461</v>
      </c>
      <c r="C219" s="63" t="s">
        <v>39</v>
      </c>
      <c r="D219" s="62" t="s">
        <v>26</v>
      </c>
      <c r="E219" s="164">
        <f t="shared" si="35"/>
        <v>10</v>
      </c>
      <c r="F219" s="14">
        <f t="shared" si="39"/>
        <v>1235.9101827543009</v>
      </c>
      <c r="G219" s="14">
        <f t="shared" si="36"/>
        <v>12359.101827543009</v>
      </c>
      <c r="I219" s="52">
        <f>48*$I$1</f>
        <v>864</v>
      </c>
      <c r="J219" s="51">
        <f t="shared" si="37"/>
        <v>371.91018275430093</v>
      </c>
      <c r="K219" s="51">
        <f t="shared" si="38"/>
        <v>1235.9101827543009</v>
      </c>
    </row>
    <row r="220" spans="2:14" ht="29" x14ac:dyDescent="0.35">
      <c r="B220" s="62" t="s">
        <v>462</v>
      </c>
      <c r="C220" s="63" t="s">
        <v>40</v>
      </c>
      <c r="D220" s="62" t="s">
        <v>26</v>
      </c>
      <c r="E220" s="164">
        <f t="shared" si="35"/>
        <v>10</v>
      </c>
      <c r="F220" s="14">
        <f t="shared" si="39"/>
        <v>2240.0872062421704</v>
      </c>
      <c r="G220" s="14">
        <f t="shared" si="36"/>
        <v>22400.872062421702</v>
      </c>
      <c r="I220" s="52">
        <f>87*$I$1</f>
        <v>1566</v>
      </c>
      <c r="J220" s="51">
        <f t="shared" si="37"/>
        <v>674.0872062421704</v>
      </c>
      <c r="K220" s="51">
        <f t="shared" si="38"/>
        <v>2240.0872062421704</v>
      </c>
    </row>
    <row r="221" spans="2:14" ht="29" x14ac:dyDescent="0.35">
      <c r="B221" s="62" t="s">
        <v>463</v>
      </c>
      <c r="C221" s="63" t="s">
        <v>41</v>
      </c>
      <c r="D221" s="62" t="s">
        <v>26</v>
      </c>
      <c r="E221" s="164">
        <f t="shared" si="35"/>
        <v>20</v>
      </c>
      <c r="F221" s="14">
        <f t="shared" si="39"/>
        <v>257.48128807381272</v>
      </c>
      <c r="G221" s="14">
        <f t="shared" si="36"/>
        <v>5149.6257614762544</v>
      </c>
      <c r="I221" s="52">
        <f>10*$I$1</f>
        <v>180</v>
      </c>
      <c r="J221" s="51">
        <f t="shared" si="37"/>
        <v>77.481288073812692</v>
      </c>
      <c r="K221" s="51">
        <f t="shared" si="38"/>
        <v>257.48128807381272</v>
      </c>
    </row>
    <row r="222" spans="2:14" ht="29" x14ac:dyDescent="0.35">
      <c r="B222" s="62" t="s">
        <v>464</v>
      </c>
      <c r="C222" s="63" t="s">
        <v>42</v>
      </c>
      <c r="D222" s="62" t="s">
        <v>26</v>
      </c>
      <c r="E222" s="164">
        <f t="shared" si="35"/>
        <v>4</v>
      </c>
      <c r="F222" s="14">
        <f t="shared" si="39"/>
        <v>1004.1770234878695</v>
      </c>
      <c r="G222" s="14">
        <f t="shared" si="36"/>
        <v>4016.7080939514781</v>
      </c>
      <c r="I222" s="52">
        <f>39*$I$1</f>
        <v>702</v>
      </c>
      <c r="J222" s="51">
        <f t="shared" si="37"/>
        <v>302.17702348786952</v>
      </c>
      <c r="K222" s="51">
        <f t="shared" si="38"/>
        <v>1004.1770234878695</v>
      </c>
    </row>
    <row r="223" spans="2:14" ht="29" x14ac:dyDescent="0.35">
      <c r="B223" s="62" t="s">
        <v>465</v>
      </c>
      <c r="C223" s="63" t="s">
        <v>43</v>
      </c>
      <c r="D223" s="62" t="s">
        <v>26</v>
      </c>
      <c r="E223" s="164">
        <f t="shared" si="35"/>
        <v>4</v>
      </c>
      <c r="F223" s="14">
        <f t="shared" si="39"/>
        <v>1184.4139251395384</v>
      </c>
      <c r="G223" s="14">
        <f t="shared" si="36"/>
        <v>4737.6557005581535</v>
      </c>
      <c r="I223" s="52">
        <f>46*$I$1</f>
        <v>828</v>
      </c>
      <c r="J223" s="51">
        <f t="shared" si="37"/>
        <v>356.41392513953838</v>
      </c>
      <c r="K223" s="51">
        <f t="shared" si="38"/>
        <v>1184.4139251395384</v>
      </c>
    </row>
    <row r="224" spans="2:14" ht="29" x14ac:dyDescent="0.35">
      <c r="B224" s="62" t="s">
        <v>466</v>
      </c>
      <c r="C224" s="63" t="s">
        <v>44</v>
      </c>
      <c r="D224" s="62" t="s">
        <v>26</v>
      </c>
      <c r="E224" s="164">
        <f t="shared" si="35"/>
        <v>3</v>
      </c>
      <c r="F224" s="14">
        <f t="shared" si="39"/>
        <v>1467.6433420207322</v>
      </c>
      <c r="G224" s="14">
        <f t="shared" si="36"/>
        <v>4402.9300260621967</v>
      </c>
      <c r="I224" s="52">
        <f>57*$I$1</f>
        <v>1026</v>
      </c>
      <c r="J224" s="51">
        <f t="shared" si="37"/>
        <v>441.64334202073235</v>
      </c>
      <c r="K224" s="51">
        <f t="shared" si="38"/>
        <v>1467.6433420207322</v>
      </c>
    </row>
    <row r="225" spans="2:11" ht="29" x14ac:dyDescent="0.35">
      <c r="B225" s="62" t="s">
        <v>467</v>
      </c>
      <c r="C225" s="63" t="s">
        <v>387</v>
      </c>
      <c r="D225" s="62" t="s">
        <v>26</v>
      </c>
      <c r="E225" s="164">
        <f t="shared" si="35"/>
        <v>3</v>
      </c>
      <c r="F225" s="14">
        <f t="shared" si="39"/>
        <v>12487.842471579916</v>
      </c>
      <c r="G225" s="14">
        <f t="shared" si="36"/>
        <v>37463.527414739743</v>
      </c>
      <c r="I225" s="52">
        <f>485*$I$1</f>
        <v>8730</v>
      </c>
      <c r="J225" s="51">
        <f t="shared" si="37"/>
        <v>3757.8424715799156</v>
      </c>
      <c r="K225" s="51">
        <f t="shared" si="38"/>
        <v>12487.842471579916</v>
      </c>
    </row>
    <row r="226" spans="2:11" ht="29" x14ac:dyDescent="0.35">
      <c r="B226" s="62" t="s">
        <v>468</v>
      </c>
      <c r="C226" s="63" t="s">
        <v>45</v>
      </c>
      <c r="D226" s="62" t="s">
        <v>26</v>
      </c>
      <c r="E226" s="164">
        <f t="shared" si="35"/>
        <v>10</v>
      </c>
      <c r="F226" s="14">
        <f t="shared" si="39"/>
        <v>1956.8577893609765</v>
      </c>
      <c r="G226" s="14">
        <f t="shared" si="36"/>
        <v>19568.577893609767</v>
      </c>
      <c r="I226" s="52">
        <f>76*$I$1</f>
        <v>1368</v>
      </c>
      <c r="J226" s="51">
        <f t="shared" si="37"/>
        <v>588.85778936097654</v>
      </c>
      <c r="K226" s="51">
        <f t="shared" si="38"/>
        <v>1956.8577893609765</v>
      </c>
    </row>
    <row r="227" spans="2:11" x14ac:dyDescent="0.35">
      <c r="B227" s="62" t="s">
        <v>469</v>
      </c>
      <c r="C227" s="63" t="s">
        <v>46</v>
      </c>
      <c r="D227" s="62" t="s">
        <v>26</v>
      </c>
      <c r="E227" s="164">
        <f t="shared" si="35"/>
        <v>4</v>
      </c>
      <c r="F227" s="14">
        <f t="shared" si="39"/>
        <v>1853.8652741314513</v>
      </c>
      <c r="G227" s="14">
        <f t="shared" si="36"/>
        <v>7415.4610965258053</v>
      </c>
      <c r="I227" s="52">
        <f>72*$I$1</f>
        <v>1296</v>
      </c>
      <c r="J227" s="51">
        <f t="shared" si="37"/>
        <v>557.86527413145143</v>
      </c>
      <c r="K227" s="51">
        <f t="shared" si="38"/>
        <v>1853.8652741314513</v>
      </c>
    </row>
    <row r="228" spans="2:11" x14ac:dyDescent="0.35">
      <c r="B228" s="62" t="s">
        <v>470</v>
      </c>
      <c r="C228" s="63" t="s">
        <v>33</v>
      </c>
      <c r="D228" s="62" t="s">
        <v>34</v>
      </c>
      <c r="E228" s="164">
        <f t="shared" si="35"/>
        <v>2</v>
      </c>
      <c r="F228" s="14">
        <f t="shared" si="39"/>
        <v>6849.0022627634171</v>
      </c>
      <c r="G228" s="14">
        <f t="shared" si="36"/>
        <v>13698.004525526834</v>
      </c>
      <c r="I228" s="52">
        <f>266*I1</f>
        <v>4788</v>
      </c>
      <c r="J228" s="51">
        <f t="shared" si="37"/>
        <v>2061.0022627634175</v>
      </c>
      <c r="K228" s="51">
        <f t="shared" si="38"/>
        <v>6849.0022627634171</v>
      </c>
    </row>
    <row r="229" spans="2:11" ht="29" x14ac:dyDescent="0.35">
      <c r="B229" s="62" t="s">
        <v>471</v>
      </c>
      <c r="C229" s="63" t="s">
        <v>35</v>
      </c>
      <c r="D229" s="62" t="s">
        <v>34</v>
      </c>
      <c r="E229" s="164">
        <f t="shared" si="35"/>
        <v>4</v>
      </c>
      <c r="F229" s="14">
        <f t="shared" si="39"/>
        <v>8496.8825064358189</v>
      </c>
      <c r="G229" s="14">
        <f t="shared" si="36"/>
        <v>33987.530025743275</v>
      </c>
      <c r="I229" s="52">
        <f>330*I1</f>
        <v>5940</v>
      </c>
      <c r="J229" s="51">
        <f t="shared" si="37"/>
        <v>2556.8825064358189</v>
      </c>
      <c r="K229" s="51">
        <f t="shared" si="38"/>
        <v>8496.8825064358189</v>
      </c>
    </row>
    <row r="230" spans="2:11" x14ac:dyDescent="0.35">
      <c r="B230" s="62" t="s">
        <v>472</v>
      </c>
      <c r="C230" s="63" t="s">
        <v>388</v>
      </c>
      <c r="D230" s="62" t="s">
        <v>34</v>
      </c>
      <c r="E230" s="164">
        <f t="shared" si="35"/>
        <v>10</v>
      </c>
      <c r="F230" s="14">
        <f t="shared" si="39"/>
        <v>6437.0322018453171</v>
      </c>
      <c r="G230" s="14">
        <f t="shared" si="36"/>
        <v>64370.322018453167</v>
      </c>
      <c r="I230" s="52">
        <f>250*I1</f>
        <v>4500</v>
      </c>
      <c r="J230" s="51">
        <f t="shared" si="37"/>
        <v>1937.0322018453176</v>
      </c>
      <c r="K230" s="51">
        <f t="shared" si="38"/>
        <v>6437.0322018453171</v>
      </c>
    </row>
    <row r="231" spans="2:11" x14ac:dyDescent="0.35">
      <c r="B231" s="62" t="s">
        <v>473</v>
      </c>
      <c r="C231" s="63" t="s">
        <v>389</v>
      </c>
      <c r="D231" s="62" t="s">
        <v>34</v>
      </c>
      <c r="E231" s="164">
        <f t="shared" si="35"/>
        <v>3</v>
      </c>
      <c r="F231" s="14">
        <f t="shared" si="39"/>
        <v>15500.373542043524</v>
      </c>
      <c r="G231" s="14">
        <f t="shared" si="36"/>
        <v>46501.120626130571</v>
      </c>
      <c r="I231" s="52">
        <f>602*I1</f>
        <v>10836</v>
      </c>
      <c r="J231" s="51">
        <f t="shared" si="37"/>
        <v>4664.3735420435241</v>
      </c>
      <c r="K231" s="51">
        <f t="shared" si="38"/>
        <v>15500.373542043524</v>
      </c>
    </row>
    <row r="232" spans="2:11" x14ac:dyDescent="0.35">
      <c r="B232" s="62" t="s">
        <v>474</v>
      </c>
      <c r="C232" s="63" t="s">
        <v>36</v>
      </c>
      <c r="D232" s="62" t="s">
        <v>34</v>
      </c>
      <c r="E232" s="164">
        <f t="shared" si="35"/>
        <v>2</v>
      </c>
      <c r="F232" s="14">
        <f t="shared" si="39"/>
        <v>8136.4087031324816</v>
      </c>
      <c r="G232" s="14">
        <f t="shared" si="36"/>
        <v>16272.817406264963</v>
      </c>
      <c r="I232" s="52">
        <f>316*I1</f>
        <v>5688</v>
      </c>
      <c r="J232" s="51">
        <f t="shared" si="37"/>
        <v>2448.4087031324812</v>
      </c>
      <c r="K232" s="51">
        <f t="shared" si="38"/>
        <v>8136.4087031324816</v>
      </c>
    </row>
    <row r="233" spans="2:11" x14ac:dyDescent="0.35">
      <c r="B233" s="62" t="s">
        <v>475</v>
      </c>
      <c r="C233" s="63" t="s">
        <v>37</v>
      </c>
      <c r="D233" s="62" t="s">
        <v>34</v>
      </c>
      <c r="E233" s="164">
        <f t="shared" si="35"/>
        <v>2</v>
      </c>
      <c r="F233" s="14">
        <f>K233</f>
        <v>16787.779982412587</v>
      </c>
      <c r="G233" s="14">
        <f t="shared" si="36"/>
        <v>33575.559964825174</v>
      </c>
      <c r="I233" s="52">
        <f>652*I1</f>
        <v>11736</v>
      </c>
      <c r="J233" s="51">
        <f t="shared" si="37"/>
        <v>5051.7799824125877</v>
      </c>
      <c r="K233" s="51">
        <f>I233+J233</f>
        <v>16787.779982412587</v>
      </c>
    </row>
    <row r="234" spans="2:11" ht="29" x14ac:dyDescent="0.35">
      <c r="B234" s="62" t="s">
        <v>476</v>
      </c>
      <c r="C234" s="63" t="s">
        <v>238</v>
      </c>
      <c r="D234" s="62" t="s">
        <v>34</v>
      </c>
      <c r="E234" s="164">
        <f t="shared" si="35"/>
        <v>3</v>
      </c>
      <c r="F234" s="14">
        <f>K234</f>
        <v>39909.599651440971</v>
      </c>
      <c r="G234" s="14">
        <f t="shared" si="36"/>
        <v>119728.79895432291</v>
      </c>
      <c r="I234" s="52">
        <f>1550*I1</f>
        <v>27900</v>
      </c>
      <c r="J234" s="51">
        <f t="shared" si="37"/>
        <v>12009.599651440969</v>
      </c>
      <c r="K234" s="51">
        <f>I234+J234</f>
        <v>39909.599651440971</v>
      </c>
    </row>
    <row r="235" spans="2:11" x14ac:dyDescent="0.35">
      <c r="B235" s="114"/>
      <c r="C235" s="115"/>
      <c r="D235" s="116"/>
      <c r="E235" s="22"/>
      <c r="F235" s="22"/>
      <c r="G235" s="22"/>
      <c r="I235" s="117"/>
      <c r="J235" s="118"/>
      <c r="K235" s="118"/>
    </row>
    <row r="236" spans="2:11" ht="15.5" x14ac:dyDescent="0.35">
      <c r="B236" s="234" t="s">
        <v>368</v>
      </c>
      <c r="C236" s="234"/>
      <c r="D236" s="234"/>
      <c r="E236" s="234"/>
      <c r="F236" s="234"/>
      <c r="G236" s="234"/>
      <c r="J236" s="46"/>
      <c r="K236" s="46"/>
    </row>
    <row r="237" spans="2:11" ht="15.5" x14ac:dyDescent="0.35">
      <c r="B237" s="153">
        <v>2</v>
      </c>
      <c r="C237" s="233" t="s">
        <v>478</v>
      </c>
      <c r="D237" s="233"/>
      <c r="E237" s="233"/>
      <c r="F237" s="233"/>
      <c r="G237" s="233"/>
      <c r="K237" s="46"/>
    </row>
    <row r="238" spans="2:11" x14ac:dyDescent="0.35">
      <c r="B238" s="151" t="s">
        <v>259</v>
      </c>
      <c r="C238" s="151" t="s">
        <v>2</v>
      </c>
      <c r="D238" s="151" t="s">
        <v>3</v>
      </c>
      <c r="E238" s="151" t="s">
        <v>4</v>
      </c>
      <c r="F238" s="159" t="s">
        <v>72</v>
      </c>
      <c r="G238" s="159" t="s">
        <v>5</v>
      </c>
      <c r="K238" s="46"/>
    </row>
    <row r="239" spans="2:11" ht="16.5" customHeight="1" x14ac:dyDescent="0.35">
      <c r="B239" s="151" t="s">
        <v>9</v>
      </c>
      <c r="C239" s="156" t="s">
        <v>479</v>
      </c>
      <c r="D239" s="11" t="s">
        <v>26</v>
      </c>
      <c r="E239" s="164">
        <f t="shared" ref="E239:E273" si="40">E68</f>
        <v>1</v>
      </c>
      <c r="F239" s="158">
        <f>SUM(G240:G273)</f>
        <v>1479396.4475361079</v>
      </c>
      <c r="G239" s="158">
        <f>E239*F239</f>
        <v>1479396.4475361079</v>
      </c>
      <c r="H239" s="46"/>
      <c r="K239" s="46"/>
    </row>
    <row r="240" spans="2:11" ht="29" x14ac:dyDescent="0.35">
      <c r="B240" s="11" t="s">
        <v>481</v>
      </c>
      <c r="C240" s="10" t="str">
        <f t="shared" ref="C240:C273" si="41">"Suministro de mano de obra para la instlacion y puesta en marcha de "&amp;C201</f>
        <v>Suministro de mano de obra para la instlacion y puesta en marcha de Software gestión mantenimiento CAFM</v>
      </c>
      <c r="D240" s="11" t="str">
        <f t="shared" ref="D240:D273" si="42">D201</f>
        <v>un</v>
      </c>
      <c r="E240" s="164">
        <f t="shared" si="40"/>
        <v>12</v>
      </c>
      <c r="F240" s="14">
        <f>K240</f>
        <v>81942.961968680087</v>
      </c>
      <c r="G240" s="14">
        <f>E240*F240</f>
        <v>983315.54362416104</v>
      </c>
      <c r="I240" s="52">
        <v>55000</v>
      </c>
      <c r="J240" s="51">
        <f t="shared" ref="J240:J273" si="43">I240*$I$2*$I$3</f>
        <v>26942.961968680091</v>
      </c>
      <c r="K240" s="51">
        <f>I240+J240</f>
        <v>81942.961968680087</v>
      </c>
    </row>
    <row r="241" spans="2:14" ht="43.5" x14ac:dyDescent="0.35">
      <c r="B241" s="11" t="s">
        <v>482</v>
      </c>
      <c r="C241" s="10" t="str">
        <f t="shared" si="41"/>
        <v>Suministro de mano de obra para la instlacion y puesta en marcha de Interruptor NSX 160 con modulo Vigi y protección electrónica Micrologig 5.2E</v>
      </c>
      <c r="D241" s="11" t="str">
        <f t="shared" si="42"/>
        <v>un</v>
      </c>
      <c r="E241" s="164">
        <f t="shared" si="40"/>
        <v>2</v>
      </c>
      <c r="F241" s="14">
        <f t="shared" ref="F241:F273" si="44">K241</f>
        <v>9654.3707919463086</v>
      </c>
      <c r="G241" s="14">
        <f t="shared" ref="G241:G273" si="45">E241*F241</f>
        <v>19308.741583892617</v>
      </c>
      <c r="I241" s="52">
        <f t="shared" ref="I241:I273" si="46">I202*0.3</f>
        <v>6480</v>
      </c>
      <c r="J241" s="51">
        <f t="shared" si="43"/>
        <v>3174.3707919463086</v>
      </c>
      <c r="K241" s="51">
        <f t="shared" ref="K241:K273" si="47">I241+J241</f>
        <v>9654.3707919463086</v>
      </c>
    </row>
    <row r="242" spans="2:14" ht="43.5" x14ac:dyDescent="0.35">
      <c r="B242" s="11" t="s">
        <v>483</v>
      </c>
      <c r="C242" s="10" t="str">
        <f t="shared" si="41"/>
        <v>Suministro de mano de obra para la instlacion y puesta en marcha de Interruptor NSX 250 con modulo Vigi y protección electrónica Micrologig 5.2E</v>
      </c>
      <c r="D242" s="11" t="str">
        <f t="shared" si="42"/>
        <v>un</v>
      </c>
      <c r="E242" s="164">
        <f t="shared" si="40"/>
        <v>2</v>
      </c>
      <c r="F242" s="14">
        <f t="shared" si="44"/>
        <v>12067.963489932887</v>
      </c>
      <c r="G242" s="14">
        <f t="shared" si="45"/>
        <v>24135.926979865773</v>
      </c>
      <c r="I242" s="52">
        <f t="shared" si="46"/>
        <v>8100</v>
      </c>
      <c r="J242" s="51">
        <f t="shared" si="43"/>
        <v>3967.9634899328862</v>
      </c>
      <c r="K242" s="51">
        <f t="shared" si="47"/>
        <v>12067.963489932887</v>
      </c>
    </row>
    <row r="243" spans="2:14" ht="43.5" x14ac:dyDescent="0.35">
      <c r="B243" s="11" t="s">
        <v>484</v>
      </c>
      <c r="C243" s="10" t="str">
        <f t="shared" si="41"/>
        <v>Suministro de mano de obra para la instlacion y puesta en marcha de Interruptor NSX 630 con modulo Vigi y protección electrónica Micrologig 5.2E</v>
      </c>
      <c r="D243" s="11" t="str">
        <f t="shared" si="42"/>
        <v>un</v>
      </c>
      <c r="E243" s="164">
        <f t="shared" si="40"/>
        <v>2</v>
      </c>
      <c r="F243" s="14">
        <f t="shared" si="44"/>
        <v>16895.148885906041</v>
      </c>
      <c r="G243" s="14">
        <f t="shared" si="45"/>
        <v>33790.297771812082</v>
      </c>
      <c r="I243" s="52">
        <f t="shared" si="46"/>
        <v>11340</v>
      </c>
      <c r="J243" s="51">
        <f t="shared" si="43"/>
        <v>5555.1488859060401</v>
      </c>
      <c r="K243" s="51">
        <f t="shared" si="47"/>
        <v>16895.148885906041</v>
      </c>
    </row>
    <row r="244" spans="2:14" ht="29" x14ac:dyDescent="0.35">
      <c r="B244" s="11" t="s">
        <v>485</v>
      </c>
      <c r="C244" s="10" t="str">
        <f t="shared" si="41"/>
        <v>Suministro de mano de obra para la instlacion y puesta en marcha de Juego de Polipack hasta 250 A</v>
      </c>
      <c r="D244" s="11" t="str">
        <f t="shared" si="42"/>
        <v>un</v>
      </c>
      <c r="E244" s="164">
        <f t="shared" si="40"/>
        <v>3</v>
      </c>
      <c r="F244" s="14">
        <f t="shared" si="44"/>
        <v>3057.2174174496645</v>
      </c>
      <c r="G244" s="14">
        <f t="shared" si="45"/>
        <v>9171.652252348993</v>
      </c>
      <c r="I244" s="52">
        <f t="shared" si="46"/>
        <v>2052</v>
      </c>
      <c r="J244" s="51">
        <f t="shared" si="43"/>
        <v>1005.2174174496644</v>
      </c>
      <c r="K244" s="51">
        <f t="shared" si="47"/>
        <v>3057.2174174496645</v>
      </c>
    </row>
    <row r="245" spans="2:14" ht="29" x14ac:dyDescent="0.35">
      <c r="B245" s="11" t="s">
        <v>486</v>
      </c>
      <c r="C245" s="10" t="str">
        <f t="shared" si="41"/>
        <v>Suministro de mano de obra para la instlacion y puesta en marcha de Contactor LC 125 A, con modulo 2 Na+2 Nc</v>
      </c>
      <c r="D245" s="11" t="str">
        <f t="shared" si="42"/>
        <v>un</v>
      </c>
      <c r="E245" s="164">
        <f t="shared" si="40"/>
        <v>5</v>
      </c>
      <c r="F245" s="14">
        <f t="shared" si="44"/>
        <v>3901.9748617449668</v>
      </c>
      <c r="G245" s="14">
        <f t="shared" si="45"/>
        <v>19509.874308724833</v>
      </c>
      <c r="I245" s="52">
        <f t="shared" si="46"/>
        <v>2619</v>
      </c>
      <c r="J245" s="51">
        <f t="shared" si="43"/>
        <v>1282.9748617449666</v>
      </c>
      <c r="K245" s="51">
        <f t="shared" si="47"/>
        <v>3901.9748617449668</v>
      </c>
    </row>
    <row r="246" spans="2:14" ht="29" x14ac:dyDescent="0.35">
      <c r="B246" s="11" t="s">
        <v>487</v>
      </c>
      <c r="C246" s="10" t="str">
        <f t="shared" si="41"/>
        <v>Suministro de mano de obra para la instlacion y puesta en marcha de Contactor LC 160 A, con modulo 2 Na+2 Nc</v>
      </c>
      <c r="D246" s="11" t="str">
        <f t="shared" si="42"/>
        <v>un</v>
      </c>
      <c r="E246" s="164">
        <f t="shared" si="40"/>
        <v>5</v>
      </c>
      <c r="F246" s="14">
        <f t="shared" si="44"/>
        <v>5028.3181208053693</v>
      </c>
      <c r="G246" s="14">
        <f t="shared" si="45"/>
        <v>25141.590604026846</v>
      </c>
      <c r="I246" s="52">
        <f t="shared" si="46"/>
        <v>3375</v>
      </c>
      <c r="J246" s="51">
        <f t="shared" si="43"/>
        <v>1653.3181208053693</v>
      </c>
      <c r="K246" s="51">
        <f t="shared" si="47"/>
        <v>5028.3181208053693</v>
      </c>
    </row>
    <row r="247" spans="2:14" ht="29" x14ac:dyDescent="0.35">
      <c r="B247" s="11" t="s">
        <v>488</v>
      </c>
      <c r="C247" s="10" t="str">
        <f t="shared" si="41"/>
        <v>Suministro de mano de obra para la instlacion y puesta en marcha de Switch Poe WS-C2960-24PS-L</v>
      </c>
      <c r="D247" s="11" t="str">
        <f t="shared" si="42"/>
        <v>un</v>
      </c>
      <c r="E247" s="164">
        <f t="shared" si="40"/>
        <v>1</v>
      </c>
      <c r="F247" s="14">
        <f t="shared" si="44"/>
        <v>49880.915758389267</v>
      </c>
      <c r="G247" s="14">
        <f t="shared" si="45"/>
        <v>49880.915758389267</v>
      </c>
      <c r="I247" s="52">
        <f t="shared" si="46"/>
        <v>33480</v>
      </c>
      <c r="J247" s="51">
        <f t="shared" si="43"/>
        <v>16400.915758389263</v>
      </c>
      <c r="K247" s="51">
        <f t="shared" si="47"/>
        <v>49880.915758389267</v>
      </c>
    </row>
    <row r="248" spans="2:14" ht="29" x14ac:dyDescent="0.35">
      <c r="B248" s="11" t="s">
        <v>489</v>
      </c>
      <c r="C248" s="10" t="str">
        <f t="shared" si="41"/>
        <v>Suministro de mano de obra para la instlacion y puesta en marcha de Resistencia Termotanque</v>
      </c>
      <c r="D248" s="11" t="str">
        <f t="shared" si="42"/>
        <v>un</v>
      </c>
      <c r="E248" s="164">
        <f t="shared" si="40"/>
        <v>2</v>
      </c>
      <c r="F248" s="14">
        <f t="shared" si="44"/>
        <v>3486.3005637583892</v>
      </c>
      <c r="G248" s="14">
        <f t="shared" si="45"/>
        <v>6972.6011275167784</v>
      </c>
      <c r="I248" s="52">
        <f t="shared" si="46"/>
        <v>2340</v>
      </c>
      <c r="J248" s="51">
        <f t="shared" si="43"/>
        <v>1146.3005637583892</v>
      </c>
      <c r="K248" s="51">
        <f t="shared" si="47"/>
        <v>3486.3005637583892</v>
      </c>
    </row>
    <row r="249" spans="2:14" ht="29" x14ac:dyDescent="0.35">
      <c r="B249" s="11" t="s">
        <v>490</v>
      </c>
      <c r="C249" s="10" t="str">
        <f t="shared" si="41"/>
        <v>Suministro de mano de obra para la instlacion y puesta en marcha de Ánodo de sacrificio Termo Tanque</v>
      </c>
      <c r="D249" s="11" t="str">
        <f t="shared" si="42"/>
        <v>un</v>
      </c>
      <c r="E249" s="164">
        <f t="shared" si="40"/>
        <v>2</v>
      </c>
      <c r="F249" s="14">
        <f t="shared" si="44"/>
        <v>1519.6694765100672</v>
      </c>
      <c r="G249" s="14">
        <f t="shared" si="45"/>
        <v>3039.3389530201343</v>
      </c>
      <c r="I249" s="52">
        <f t="shared" si="46"/>
        <v>1020</v>
      </c>
      <c r="J249" s="51">
        <f t="shared" si="43"/>
        <v>499.66947651006711</v>
      </c>
      <c r="K249" s="51">
        <f t="shared" si="47"/>
        <v>1519.6694765100672</v>
      </c>
    </row>
    <row r="250" spans="2:14" ht="29" x14ac:dyDescent="0.35">
      <c r="B250" s="11" t="s">
        <v>491</v>
      </c>
      <c r="C250" s="10" t="str">
        <f t="shared" si="41"/>
        <v>Suministro de mano de obra para la instlacion y puesta en marcha de Kit reparación Evaporadora Mitsubishi - 210-150</v>
      </c>
      <c r="D250" s="11" t="str">
        <f t="shared" si="42"/>
        <v>un</v>
      </c>
      <c r="E250" s="164">
        <f t="shared" si="40"/>
        <v>5</v>
      </c>
      <c r="F250" s="14">
        <f t="shared" si="44"/>
        <v>5542.3239731543617</v>
      </c>
      <c r="G250" s="14">
        <f t="shared" si="45"/>
        <v>27711.619865771809</v>
      </c>
      <c r="I250" s="52">
        <f t="shared" si="46"/>
        <v>3720</v>
      </c>
      <c r="J250" s="51">
        <f t="shared" si="43"/>
        <v>1822.3239731543622</v>
      </c>
      <c r="K250" s="51">
        <f t="shared" si="47"/>
        <v>5542.3239731543617</v>
      </c>
      <c r="N250" s="51"/>
    </row>
    <row r="251" spans="2:14" ht="29" x14ac:dyDescent="0.35">
      <c r="B251" s="11" t="s">
        <v>492</v>
      </c>
      <c r="C251" s="10" t="str">
        <f t="shared" si="41"/>
        <v>Suministro de mano de obra para la instlacion y puesta en marcha de Kit reparación Condensadora Mitsubishi - 210-150</v>
      </c>
      <c r="D251" s="11" t="str">
        <f t="shared" si="42"/>
        <v>un</v>
      </c>
      <c r="E251" s="164">
        <f t="shared" si="40"/>
        <v>2</v>
      </c>
      <c r="F251" s="14">
        <f t="shared" si="44"/>
        <v>14517.760078389259</v>
      </c>
      <c r="G251" s="14">
        <f t="shared" si="45"/>
        <v>29035.520156778519</v>
      </c>
      <c r="I251" s="52">
        <f t="shared" si="46"/>
        <v>9744.2999999999993</v>
      </c>
      <c r="J251" s="51">
        <f t="shared" si="43"/>
        <v>4773.4600783892611</v>
      </c>
      <c r="K251" s="51">
        <f t="shared" si="47"/>
        <v>14517.760078389259</v>
      </c>
    </row>
    <row r="252" spans="2:14" ht="29" x14ac:dyDescent="0.35">
      <c r="B252" s="11" t="s">
        <v>493</v>
      </c>
      <c r="C252" s="10" t="str">
        <f t="shared" si="41"/>
        <v>Suministro de mano de obra para la instlacion y puesta en marcha de BMS Server automación SXW AUTOMATION SERVER - P</v>
      </c>
      <c r="D252" s="11" t="str">
        <f t="shared" si="42"/>
        <v>un</v>
      </c>
      <c r="E252" s="164">
        <f t="shared" si="40"/>
        <v>1</v>
      </c>
      <c r="F252" s="14">
        <f t="shared" si="44"/>
        <v>38617.483167785234</v>
      </c>
      <c r="G252" s="14">
        <f t="shared" si="45"/>
        <v>38617.483167785234</v>
      </c>
      <c r="I252" s="52">
        <f t="shared" si="46"/>
        <v>25920</v>
      </c>
      <c r="J252" s="51">
        <f t="shared" si="43"/>
        <v>12697.483167785234</v>
      </c>
      <c r="K252" s="51">
        <f t="shared" si="47"/>
        <v>38617.483167785234</v>
      </c>
    </row>
    <row r="253" spans="2:14" ht="29" x14ac:dyDescent="0.35">
      <c r="B253" s="11" t="s">
        <v>494</v>
      </c>
      <c r="C253" s="10" t="str">
        <f t="shared" si="41"/>
        <v>Suministro de mano de obra para la instlacion y puesta en marcha de BMS SXW MODULO BASE AUT. SERVER P - AS-P</v>
      </c>
      <c r="D253" s="11" t="str">
        <f t="shared" si="42"/>
        <v>un</v>
      </c>
      <c r="E253" s="164">
        <f t="shared" si="40"/>
        <v>3</v>
      </c>
      <c r="F253" s="14">
        <f t="shared" si="44"/>
        <v>1206.7963489932886</v>
      </c>
      <c r="G253" s="14">
        <f t="shared" si="45"/>
        <v>3620.3890469798657</v>
      </c>
      <c r="I253" s="52">
        <f t="shared" si="46"/>
        <v>810</v>
      </c>
      <c r="J253" s="51">
        <f t="shared" si="43"/>
        <v>396.79634899328858</v>
      </c>
      <c r="K253" s="51">
        <f t="shared" si="47"/>
        <v>1206.7963489932886</v>
      </c>
    </row>
    <row r="254" spans="2:14" ht="29" x14ac:dyDescent="0.35">
      <c r="B254" s="11" t="s">
        <v>495</v>
      </c>
      <c r="C254" s="10" t="str">
        <f t="shared" si="41"/>
        <v>Suministro de mano de obra para la instlacion y puesta en marcha de BMS Modulo FUENTE ALIMENTACION PS-24V para AS-P</v>
      </c>
      <c r="D254" s="11" t="str">
        <f t="shared" si="42"/>
        <v>un</v>
      </c>
      <c r="E254" s="164">
        <f t="shared" si="40"/>
        <v>3</v>
      </c>
      <c r="F254" s="14">
        <f t="shared" si="44"/>
        <v>3298.5766872483218</v>
      </c>
      <c r="G254" s="14">
        <f t="shared" si="45"/>
        <v>9895.7300617449655</v>
      </c>
      <c r="I254" s="52">
        <f t="shared" si="46"/>
        <v>2214</v>
      </c>
      <c r="J254" s="51">
        <f t="shared" si="43"/>
        <v>1084.5766872483221</v>
      </c>
      <c r="K254" s="51">
        <f t="shared" si="47"/>
        <v>3298.5766872483218</v>
      </c>
    </row>
    <row r="255" spans="2:14" ht="29" x14ac:dyDescent="0.35">
      <c r="B255" s="11" t="s">
        <v>496</v>
      </c>
      <c r="C255" s="10" t="str">
        <f t="shared" si="41"/>
        <v>Suministro de mano de obra para la instlacion y puesta en marcha de BMS BASE PARA FUENTE PS-24V</v>
      </c>
      <c r="D255" s="11" t="str">
        <f t="shared" si="42"/>
        <v>un</v>
      </c>
      <c r="E255" s="164">
        <f t="shared" si="40"/>
        <v>3</v>
      </c>
      <c r="F255" s="14">
        <f t="shared" si="44"/>
        <v>1407.9290738255033</v>
      </c>
      <c r="G255" s="14">
        <f t="shared" si="45"/>
        <v>4223.7872214765102</v>
      </c>
      <c r="I255" s="52">
        <f t="shared" si="46"/>
        <v>945</v>
      </c>
      <c r="J255" s="51">
        <f t="shared" si="43"/>
        <v>462.92907382550339</v>
      </c>
      <c r="K255" s="51">
        <f t="shared" si="47"/>
        <v>1407.9290738255033</v>
      </c>
    </row>
    <row r="256" spans="2:14" ht="29" x14ac:dyDescent="0.35">
      <c r="B256" s="11" t="s">
        <v>497</v>
      </c>
      <c r="C256" s="10" t="str">
        <f t="shared" si="41"/>
        <v>Suministro de mano de obra para la instlacion y puesta en marcha de BMS - B3624 CONTROLADOR BACNET 24 EU</v>
      </c>
      <c r="D256" s="11" t="str">
        <f t="shared" si="42"/>
        <v>un</v>
      </c>
      <c r="E256" s="164">
        <f t="shared" si="40"/>
        <v>2</v>
      </c>
      <c r="F256" s="14">
        <f t="shared" si="44"/>
        <v>11504.791860402685</v>
      </c>
      <c r="G256" s="14">
        <f t="shared" si="45"/>
        <v>23009.583720805371</v>
      </c>
      <c r="I256" s="52">
        <f t="shared" si="46"/>
        <v>7722</v>
      </c>
      <c r="J256" s="51">
        <f t="shared" si="43"/>
        <v>3782.791860402685</v>
      </c>
      <c r="K256" s="51">
        <f t="shared" si="47"/>
        <v>11504.791860402685</v>
      </c>
    </row>
    <row r="257" spans="2:11" ht="29" x14ac:dyDescent="0.35">
      <c r="B257" s="11" t="s">
        <v>498</v>
      </c>
      <c r="C257" s="10" t="str">
        <f t="shared" si="41"/>
        <v>Suministro de mano de obra para la instlacion y puesta en marcha de BMS - B3800 CONTROLADOR BACNET 16 E/S 8EU 8SD</v>
      </c>
      <c r="D257" s="11" t="str">
        <f t="shared" si="42"/>
        <v>un</v>
      </c>
      <c r="E257" s="164">
        <f t="shared" si="40"/>
        <v>2</v>
      </c>
      <c r="F257" s="14">
        <f t="shared" si="44"/>
        <v>14883.821637583893</v>
      </c>
      <c r="G257" s="14">
        <f t="shared" si="45"/>
        <v>29767.643275167786</v>
      </c>
      <c r="I257" s="52">
        <f t="shared" si="46"/>
        <v>9990</v>
      </c>
      <c r="J257" s="51">
        <f t="shared" si="43"/>
        <v>4893.8216375838929</v>
      </c>
      <c r="K257" s="51">
        <f t="shared" si="47"/>
        <v>14883.821637583893</v>
      </c>
    </row>
    <row r="258" spans="2:11" ht="29" x14ac:dyDescent="0.35">
      <c r="B258" s="11" t="s">
        <v>499</v>
      </c>
      <c r="C258" s="10" t="str">
        <f t="shared" si="41"/>
        <v>Suministro de mano de obra para la instlacion y puesta en marcha de Detector térmico direccionable y analógico FST-851R</v>
      </c>
      <c r="D258" s="11" t="str">
        <f t="shared" si="42"/>
        <v>un</v>
      </c>
      <c r="E258" s="164">
        <f t="shared" si="40"/>
        <v>10</v>
      </c>
      <c r="F258" s="14">
        <f t="shared" si="44"/>
        <v>386.17483167785235</v>
      </c>
      <c r="G258" s="14">
        <f t="shared" si="45"/>
        <v>3861.7483167785235</v>
      </c>
      <c r="I258" s="52">
        <f t="shared" si="46"/>
        <v>259.2</v>
      </c>
      <c r="J258" s="51">
        <f t="shared" si="43"/>
        <v>126.97483167785235</v>
      </c>
      <c r="K258" s="51">
        <f t="shared" si="47"/>
        <v>386.17483167785235</v>
      </c>
    </row>
    <row r="259" spans="2:11" ht="43.5" x14ac:dyDescent="0.35">
      <c r="B259" s="11" t="s">
        <v>500</v>
      </c>
      <c r="C259" s="10" t="str">
        <f t="shared" si="41"/>
        <v>Suministro de mano de obra para la instlacion y puesta en marcha de Detector algorítmico de doble tecnología (óptico/térmico) Acclimate direccionable y analógico de bajo perfil FAPT-851</v>
      </c>
      <c r="D259" s="11" t="str">
        <f t="shared" si="42"/>
        <v>un</v>
      </c>
      <c r="E259" s="164">
        <f t="shared" si="40"/>
        <v>10</v>
      </c>
      <c r="F259" s="14">
        <f t="shared" si="44"/>
        <v>699.94188241610732</v>
      </c>
      <c r="G259" s="14">
        <f t="shared" si="45"/>
        <v>6999.4188241610736</v>
      </c>
      <c r="I259" s="52">
        <f t="shared" si="46"/>
        <v>469.79999999999995</v>
      </c>
      <c r="J259" s="51">
        <f t="shared" si="43"/>
        <v>230.14188241610736</v>
      </c>
      <c r="K259" s="51">
        <f t="shared" si="47"/>
        <v>699.94188241610732</v>
      </c>
    </row>
    <row r="260" spans="2:11" ht="43.5" x14ac:dyDescent="0.35">
      <c r="B260" s="11" t="s">
        <v>501</v>
      </c>
      <c r="C260" s="10" t="str">
        <f t="shared" si="41"/>
        <v>Suministro de mano de obra para la instlacion y puesta en marcha de Base universal p/detectores direccionables y analógicos de bajo perfil. B-501</v>
      </c>
      <c r="D260" s="11" t="str">
        <f t="shared" si="42"/>
        <v>un</v>
      </c>
      <c r="E260" s="164">
        <f t="shared" si="40"/>
        <v>20</v>
      </c>
      <c r="F260" s="14">
        <f t="shared" si="44"/>
        <v>80.453089932885902</v>
      </c>
      <c r="G260" s="14">
        <f t="shared" si="45"/>
        <v>1609.0617986577181</v>
      </c>
      <c r="I260" s="52">
        <f t="shared" si="46"/>
        <v>54</v>
      </c>
      <c r="J260" s="51">
        <f t="shared" si="43"/>
        <v>26.453089932885902</v>
      </c>
      <c r="K260" s="51">
        <f t="shared" si="47"/>
        <v>80.453089932885902</v>
      </c>
    </row>
    <row r="261" spans="2:11" ht="43.5" x14ac:dyDescent="0.35">
      <c r="B261" s="11" t="s">
        <v>502</v>
      </c>
      <c r="C261" s="10" t="str">
        <f t="shared" si="41"/>
        <v>Suministro de mano de obra para la instlacion y puesta en marcha de  Avisador manual de doble acción c/registro de operación. NBG-12LSP</v>
      </c>
      <c r="D261" s="11" t="str">
        <f t="shared" si="42"/>
        <v>un</v>
      </c>
      <c r="E261" s="164">
        <f t="shared" si="40"/>
        <v>4</v>
      </c>
      <c r="F261" s="14">
        <f t="shared" si="44"/>
        <v>313.76705073825502</v>
      </c>
      <c r="G261" s="14">
        <f t="shared" si="45"/>
        <v>1255.0682029530201</v>
      </c>
      <c r="I261" s="52">
        <f t="shared" si="46"/>
        <v>210.6</v>
      </c>
      <c r="J261" s="51">
        <f t="shared" si="43"/>
        <v>103.16705073825503</v>
      </c>
      <c r="K261" s="51">
        <f t="shared" si="47"/>
        <v>313.76705073825502</v>
      </c>
    </row>
    <row r="262" spans="2:11" ht="43.5" x14ac:dyDescent="0.35">
      <c r="B262" s="11" t="s">
        <v>503</v>
      </c>
      <c r="C262" s="10" t="str">
        <f t="shared" si="41"/>
        <v>Suministro de mano de obra para la instlacion y puesta en marcha de Mini módulo direccionable para monitoreo de avisador manual. FMM-101</v>
      </c>
      <c r="D262" s="11" t="str">
        <f t="shared" si="42"/>
        <v>un</v>
      </c>
      <c r="E262" s="164">
        <f t="shared" si="40"/>
        <v>4</v>
      </c>
      <c r="F262" s="14">
        <f t="shared" si="44"/>
        <v>370.08421369127512</v>
      </c>
      <c r="G262" s="14">
        <f t="shared" si="45"/>
        <v>1480.3368547651005</v>
      </c>
      <c r="I262" s="52">
        <f t="shared" si="46"/>
        <v>248.39999999999998</v>
      </c>
      <c r="J262" s="51">
        <f t="shared" si="43"/>
        <v>121.68421369127515</v>
      </c>
      <c r="K262" s="51">
        <f t="shared" si="47"/>
        <v>370.08421369127512</v>
      </c>
    </row>
    <row r="263" spans="2:11" ht="43.5" x14ac:dyDescent="0.35">
      <c r="B263" s="11" t="s">
        <v>504</v>
      </c>
      <c r="C263" s="10" t="str">
        <f t="shared" si="41"/>
        <v>Suministro de mano de obra para la instlacion y puesta en marcha de Sirena con luz estroboscópica, 12/24 volts, 2 Hilos, roja, montaje de pared, 15, 15/75, 30, 75, 110 o 115 candelas. P2RL-SP</v>
      </c>
      <c r="D263" s="11" t="str">
        <f t="shared" si="42"/>
        <v>un</v>
      </c>
      <c r="E263" s="164">
        <f t="shared" si="40"/>
        <v>3</v>
      </c>
      <c r="F263" s="14">
        <f t="shared" si="44"/>
        <v>458.58261261744968</v>
      </c>
      <c r="G263" s="14">
        <f t="shared" si="45"/>
        <v>1375.747837852349</v>
      </c>
      <c r="I263" s="52">
        <f t="shared" si="46"/>
        <v>307.8</v>
      </c>
      <c r="J263" s="51">
        <f t="shared" si="43"/>
        <v>150.78261261744967</v>
      </c>
      <c r="K263" s="51">
        <f t="shared" si="47"/>
        <v>458.58261261744968</v>
      </c>
    </row>
    <row r="264" spans="2:11" ht="43.5" x14ac:dyDescent="0.35">
      <c r="B264" s="11" t="s">
        <v>505</v>
      </c>
      <c r="C264" s="10" t="str">
        <f t="shared" si="41"/>
        <v>Suministro de mano de obra para la instlacion y puesta en marcha de Fuente alimentación audible/visual. 6 Amperes de corriente continua. Alimentación 220 Vac.  FCPS-2456E</v>
      </c>
      <c r="D264" s="11" t="str">
        <f t="shared" si="42"/>
        <v>un</v>
      </c>
      <c r="E264" s="164">
        <f t="shared" si="40"/>
        <v>3</v>
      </c>
      <c r="F264" s="14">
        <f t="shared" si="44"/>
        <v>3901.9748617449668</v>
      </c>
      <c r="G264" s="14">
        <f t="shared" si="45"/>
        <v>11705.924585234901</v>
      </c>
      <c r="I264" s="52">
        <f t="shared" si="46"/>
        <v>2619</v>
      </c>
      <c r="J264" s="51">
        <f t="shared" si="43"/>
        <v>1282.9748617449666</v>
      </c>
      <c r="K264" s="51">
        <f t="shared" si="47"/>
        <v>3901.9748617449668</v>
      </c>
    </row>
    <row r="265" spans="2:11" ht="43.5" x14ac:dyDescent="0.35">
      <c r="B265" s="11" t="s">
        <v>506</v>
      </c>
      <c r="C265" s="10" t="str">
        <f t="shared" si="41"/>
        <v>Suministro de mano de obra para la instlacion y puesta en marcha de Módulo direccionable para comando mediante contacto seco. FRM-1</v>
      </c>
      <c r="D265" s="11" t="str">
        <f t="shared" si="42"/>
        <v>un</v>
      </c>
      <c r="E265" s="164">
        <f t="shared" si="40"/>
        <v>10</v>
      </c>
      <c r="F265" s="14">
        <f t="shared" si="44"/>
        <v>611.44348348993287</v>
      </c>
      <c r="G265" s="14">
        <f t="shared" si="45"/>
        <v>6114.434834899329</v>
      </c>
      <c r="I265" s="52">
        <f t="shared" si="46"/>
        <v>410.4</v>
      </c>
      <c r="J265" s="51">
        <f t="shared" si="43"/>
        <v>201.04348348993287</v>
      </c>
      <c r="K265" s="51">
        <f t="shared" si="47"/>
        <v>611.44348348993287</v>
      </c>
    </row>
    <row r="266" spans="2:11" ht="29" x14ac:dyDescent="0.35">
      <c r="B266" s="11" t="s">
        <v>507</v>
      </c>
      <c r="C266" s="10" t="str">
        <f t="shared" si="41"/>
        <v>Suministro de mano de obra para la instlacion y puesta en marcha de Módulo de aislación. ISO-X</v>
      </c>
      <c r="D266" s="11" t="str">
        <f t="shared" si="42"/>
        <v>un</v>
      </c>
      <c r="E266" s="164">
        <f t="shared" si="40"/>
        <v>4</v>
      </c>
      <c r="F266" s="14">
        <f t="shared" si="44"/>
        <v>579.26224751677853</v>
      </c>
      <c r="G266" s="14">
        <f t="shared" si="45"/>
        <v>2317.0489900671141</v>
      </c>
      <c r="I266" s="52">
        <f t="shared" si="46"/>
        <v>388.8</v>
      </c>
      <c r="J266" s="51">
        <f t="shared" si="43"/>
        <v>190.46224751677852</v>
      </c>
      <c r="K266" s="51">
        <f t="shared" si="47"/>
        <v>579.26224751677853</v>
      </c>
    </row>
    <row r="267" spans="2:11" ht="29" x14ac:dyDescent="0.35">
      <c r="B267" s="11" t="s">
        <v>508</v>
      </c>
      <c r="C267" s="10" t="str">
        <f t="shared" si="41"/>
        <v>Suministro de mano de obra para la instlacion y puesta en marcha de DDNP1501 - Philips DIN Network Pwr Supply 15V1.5A</v>
      </c>
      <c r="D267" s="11" t="str">
        <f t="shared" si="42"/>
        <v>u</v>
      </c>
      <c r="E267" s="164">
        <f t="shared" si="40"/>
        <v>2</v>
      </c>
      <c r="F267" s="14">
        <f t="shared" si="44"/>
        <v>2140.052192214765</v>
      </c>
      <c r="G267" s="14">
        <f t="shared" si="45"/>
        <v>4280.10438442953</v>
      </c>
      <c r="I267" s="52">
        <f t="shared" si="46"/>
        <v>1436.3999999999999</v>
      </c>
      <c r="J267" s="51">
        <f t="shared" si="43"/>
        <v>703.65219221476502</v>
      </c>
      <c r="K267" s="51">
        <f t="shared" si="47"/>
        <v>2140.052192214765</v>
      </c>
    </row>
    <row r="268" spans="2:11" ht="43.5" x14ac:dyDescent="0.35">
      <c r="B268" s="11" t="s">
        <v>509</v>
      </c>
      <c r="C268" s="10" t="str">
        <f t="shared" si="41"/>
        <v>Suministro de mano de obra para la instlacion y puesta en marcha de DUS704W-MB - Philips Universal Sensor Wall Mount long range lense</v>
      </c>
      <c r="D268" s="11" t="str">
        <f t="shared" si="42"/>
        <v>u</v>
      </c>
      <c r="E268" s="164">
        <f t="shared" si="40"/>
        <v>4</v>
      </c>
      <c r="F268" s="14">
        <f t="shared" si="44"/>
        <v>2654.951967785235</v>
      </c>
      <c r="G268" s="14">
        <f t="shared" si="45"/>
        <v>10619.80787114094</v>
      </c>
      <c r="I268" s="52">
        <f t="shared" si="46"/>
        <v>1782</v>
      </c>
      <c r="J268" s="51">
        <f t="shared" si="43"/>
        <v>872.95196778523496</v>
      </c>
      <c r="K268" s="51">
        <f t="shared" si="47"/>
        <v>2654.951967785235</v>
      </c>
    </row>
    <row r="269" spans="2:11" ht="29" x14ac:dyDescent="0.35">
      <c r="B269" s="11" t="s">
        <v>510</v>
      </c>
      <c r="C269" s="10" t="str">
        <f t="shared" si="41"/>
        <v>Suministro de mano de obra para la instlacion y puesta en marcha de Detector Inalámbrico</v>
      </c>
      <c r="D269" s="11" t="str">
        <f t="shared" si="42"/>
        <v>u</v>
      </c>
      <c r="E269" s="164">
        <f t="shared" si="40"/>
        <v>10</v>
      </c>
      <c r="F269" s="14">
        <f t="shared" si="44"/>
        <v>2011.3272483221476</v>
      </c>
      <c r="G269" s="14">
        <f t="shared" si="45"/>
        <v>20113.272483221477</v>
      </c>
      <c r="I269" s="52">
        <f t="shared" si="46"/>
        <v>1350</v>
      </c>
      <c r="J269" s="51">
        <f t="shared" si="43"/>
        <v>661.32724832214774</v>
      </c>
      <c r="K269" s="51">
        <f t="shared" si="47"/>
        <v>2011.3272483221476</v>
      </c>
    </row>
    <row r="270" spans="2:11" ht="29" x14ac:dyDescent="0.35">
      <c r="B270" s="11" t="s">
        <v>511</v>
      </c>
      <c r="C270" s="10" t="str">
        <f t="shared" si="41"/>
        <v>Suministro de mano de obra para la instlacion y puesta en marcha de DDRC1220FR-GL-V2 - Philips Controlador 12x20A replay</v>
      </c>
      <c r="D270" s="11" t="str">
        <f t="shared" si="42"/>
        <v>u</v>
      </c>
      <c r="E270" s="164">
        <f t="shared" si="40"/>
        <v>3</v>
      </c>
      <c r="F270" s="14">
        <f t="shared" si="44"/>
        <v>4843.2760139597312</v>
      </c>
      <c r="G270" s="14">
        <f t="shared" si="45"/>
        <v>14529.828041879195</v>
      </c>
      <c r="I270" s="52">
        <f t="shared" si="46"/>
        <v>3250.7999999999997</v>
      </c>
      <c r="J270" s="51">
        <f t="shared" si="43"/>
        <v>1592.4760139597313</v>
      </c>
      <c r="K270" s="51">
        <f t="shared" si="47"/>
        <v>4843.2760139597312</v>
      </c>
    </row>
    <row r="271" spans="2:11" ht="29" x14ac:dyDescent="0.35">
      <c r="B271" s="11" t="s">
        <v>512</v>
      </c>
      <c r="C271" s="10" t="str">
        <f t="shared" si="41"/>
        <v>Suministro de mano de obra para la instlacion y puesta en marcha de DPN941 - Philips Botonera Industrial 4 botones Classic Series</v>
      </c>
      <c r="D271" s="11" t="str">
        <f t="shared" si="42"/>
        <v>u</v>
      </c>
      <c r="E271" s="164">
        <f t="shared" si="40"/>
        <v>2</v>
      </c>
      <c r="F271" s="14">
        <f t="shared" si="44"/>
        <v>2542.3176418791945</v>
      </c>
      <c r="G271" s="14">
        <f t="shared" si="45"/>
        <v>5084.6352837583891</v>
      </c>
      <c r="I271" s="52">
        <f t="shared" si="46"/>
        <v>1706.3999999999999</v>
      </c>
      <c r="J271" s="51">
        <f t="shared" si="43"/>
        <v>835.91764187919455</v>
      </c>
      <c r="K271" s="51">
        <f t="shared" si="47"/>
        <v>2542.3176418791945</v>
      </c>
    </row>
    <row r="272" spans="2:11" ht="29" x14ac:dyDescent="0.35">
      <c r="B272" s="11" t="s">
        <v>513</v>
      </c>
      <c r="C272" s="10" t="str">
        <f t="shared" si="41"/>
        <v>Suministro de mano de obra para la instlacion y puesta en marcha de Philips EnvisionGateway 10/100 Base T</v>
      </c>
      <c r="D272" s="11" t="str">
        <f t="shared" si="42"/>
        <v>u</v>
      </c>
      <c r="E272" s="164">
        <f t="shared" si="40"/>
        <v>2</v>
      </c>
      <c r="F272" s="14">
        <f t="shared" si="44"/>
        <v>5245.5414636241603</v>
      </c>
      <c r="G272" s="14">
        <f t="shared" si="45"/>
        <v>10491.082927248321</v>
      </c>
      <c r="I272" s="52">
        <f t="shared" si="46"/>
        <v>3520.7999999999997</v>
      </c>
      <c r="J272" s="51">
        <f t="shared" si="43"/>
        <v>1724.7414636241608</v>
      </c>
      <c r="K272" s="51">
        <f t="shared" si="47"/>
        <v>5245.5414636241603</v>
      </c>
    </row>
    <row r="273" spans="2:14" ht="43.5" x14ac:dyDescent="0.35">
      <c r="B273" s="11" t="s">
        <v>514</v>
      </c>
      <c r="C273" s="10" t="str">
        <f t="shared" si="41"/>
        <v>Suministro de mano de obra para la instlacion y puesta en marcha de Compresor repuesto Unidad condensadora (uno por cada tipo de unidad)</v>
      </c>
      <c r="D273" s="11" t="str">
        <f t="shared" si="42"/>
        <v>u</v>
      </c>
      <c r="E273" s="164">
        <f t="shared" si="40"/>
        <v>3</v>
      </c>
      <c r="F273" s="14">
        <f t="shared" si="44"/>
        <v>12470.228939597317</v>
      </c>
      <c r="G273" s="14">
        <f t="shared" si="45"/>
        <v>37410.686818791946</v>
      </c>
      <c r="I273" s="52">
        <f t="shared" si="46"/>
        <v>8370</v>
      </c>
      <c r="J273" s="51">
        <f t="shared" si="43"/>
        <v>4100.2289395973157</v>
      </c>
      <c r="K273" s="51">
        <f t="shared" si="47"/>
        <v>12470.228939597317</v>
      </c>
    </row>
    <row r="274" spans="2:14" x14ac:dyDescent="0.35">
      <c r="B274" s="12"/>
      <c r="C274" s="13"/>
      <c r="D274" s="12"/>
      <c r="E274" s="116"/>
      <c r="F274" s="22"/>
      <c r="G274" s="22"/>
      <c r="I274" s="117"/>
      <c r="J274" s="118"/>
      <c r="K274" s="118"/>
    </row>
    <row r="275" spans="2:14" x14ac:dyDescent="0.35">
      <c r="B275" s="151" t="s">
        <v>259</v>
      </c>
      <c r="C275" s="151" t="s">
        <v>2</v>
      </c>
      <c r="D275" s="151" t="s">
        <v>480</v>
      </c>
      <c r="E275" s="151" t="s">
        <v>4</v>
      </c>
      <c r="F275" s="159" t="s">
        <v>72</v>
      </c>
      <c r="G275" s="159" t="s">
        <v>5</v>
      </c>
    </row>
    <row r="276" spans="2:14" ht="30" customHeight="1" x14ac:dyDescent="0.35">
      <c r="B276" s="151" t="s">
        <v>10</v>
      </c>
      <c r="C276" s="156" t="s">
        <v>390</v>
      </c>
      <c r="D276" s="11" t="s">
        <v>26</v>
      </c>
      <c r="E276" s="164">
        <f t="shared" ref="E276:E314" si="48">E105</f>
        <v>1</v>
      </c>
      <c r="F276" s="158">
        <f>SUM(G277:G314)</f>
        <v>1429425.4118310772</v>
      </c>
      <c r="G276" s="158">
        <f>E276*F276</f>
        <v>1429425.4118310772</v>
      </c>
      <c r="H276" s="46"/>
      <c r="I276" s="52"/>
      <c r="J276" s="51"/>
      <c r="K276" s="51"/>
    </row>
    <row r="277" spans="2:14" ht="29" x14ac:dyDescent="0.35">
      <c r="B277" s="11" t="s">
        <v>515</v>
      </c>
      <c r="C277" s="10" t="str">
        <f>"Suministro de materiales y  mano de obra para la realizacion de mantenimiento de "&amp;'Aux 3p y Anexo'!B174</f>
        <v xml:space="preserve">Suministro de materiales y  mano de obra para la realizacion de mantenimiento de </v>
      </c>
      <c r="D277" s="11" t="s">
        <v>26</v>
      </c>
      <c r="E277" s="164">
        <f t="shared" si="48"/>
        <v>26</v>
      </c>
      <c r="F277" s="14">
        <f>K277</f>
        <v>1241.1375453868079</v>
      </c>
      <c r="G277" s="14">
        <f t="shared" ref="G277:G314" si="49">E277*F277</f>
        <v>32269.576180057007</v>
      </c>
      <c r="I277" s="165">
        <f>I106</f>
        <v>850</v>
      </c>
      <c r="J277" s="53">
        <f>((I277*0.5*$I$3)+(I277*0.5*$I$4))*$I$2</f>
        <v>391.13754538680797</v>
      </c>
      <c r="K277" s="51">
        <f t="shared" ref="K277:K314" si="50">I277+J277</f>
        <v>1241.1375453868079</v>
      </c>
    </row>
    <row r="278" spans="2:14" ht="29" x14ac:dyDescent="0.35">
      <c r="B278" s="11" t="s">
        <v>516</v>
      </c>
      <c r="C278" s="10" t="str">
        <f>"Suministro de materiales y  mano de obra para la realizacion de mantenimiento de "&amp;'Aux 3p y Anexo'!B175</f>
        <v xml:space="preserve">Suministro de materiales y  mano de obra para la realizacion de mantenimiento de </v>
      </c>
      <c r="D278" s="11" t="s">
        <v>26</v>
      </c>
      <c r="E278" s="164">
        <f t="shared" si="48"/>
        <v>13</v>
      </c>
      <c r="F278" s="14">
        <f t="shared" ref="F278:F314" si="51">K278</f>
        <v>1241.1375453868079</v>
      </c>
      <c r="G278" s="14">
        <f t="shared" si="49"/>
        <v>16134.788090028504</v>
      </c>
      <c r="I278" s="165">
        <f t="shared" ref="I278:I314" si="52">I107</f>
        <v>850</v>
      </c>
      <c r="J278" s="53">
        <f t="shared" ref="J278:J314" si="53">((I278*0.5*$I$3)+(I278*0.5*$I$4))*$I$2</f>
        <v>391.13754538680797</v>
      </c>
      <c r="K278" s="51">
        <f t="shared" si="50"/>
        <v>1241.1375453868079</v>
      </c>
    </row>
    <row r="279" spans="2:14" ht="30" customHeight="1" x14ac:dyDescent="0.35">
      <c r="B279" s="11" t="s">
        <v>517</v>
      </c>
      <c r="C279" s="10" t="str">
        <f>"Suministro de materiales y  mano de obra para la realizacion de mantenimiento de "&amp;'Aux 3p y Anexo'!B176</f>
        <v xml:space="preserve">Suministro de materiales y  mano de obra para la realizacion de mantenimiento de </v>
      </c>
      <c r="D279" s="11" t="s">
        <v>26</v>
      </c>
      <c r="E279" s="164">
        <f t="shared" si="48"/>
        <v>5</v>
      </c>
      <c r="F279" s="14">
        <f t="shared" si="51"/>
        <v>1241.1375453868079</v>
      </c>
      <c r="G279" s="14">
        <f t="shared" si="49"/>
        <v>6205.6877269340393</v>
      </c>
      <c r="I279" s="165">
        <f t="shared" si="52"/>
        <v>850</v>
      </c>
      <c r="J279" s="53">
        <f t="shared" si="53"/>
        <v>391.13754538680797</v>
      </c>
      <c r="K279" s="51">
        <f t="shared" si="50"/>
        <v>1241.1375453868079</v>
      </c>
    </row>
    <row r="280" spans="2:14" ht="30" customHeight="1" x14ac:dyDescent="0.35">
      <c r="B280" s="11" t="s">
        <v>518</v>
      </c>
      <c r="C280" s="10" t="str">
        <f>"Suministro de materiales y  mano de obra para la realizacion de mantenimiento de "&amp;'Aux 3p y Anexo'!B177</f>
        <v xml:space="preserve">Suministro de materiales y  mano de obra para la realizacion de mantenimiento de </v>
      </c>
      <c r="D280" s="11" t="s">
        <v>26</v>
      </c>
      <c r="E280" s="164">
        <f t="shared" si="48"/>
        <v>63</v>
      </c>
      <c r="F280" s="14">
        <f t="shared" si="51"/>
        <v>1241.1375453868079</v>
      </c>
      <c r="G280" s="14">
        <f t="shared" si="49"/>
        <v>78191.665359368897</v>
      </c>
      <c r="I280" s="165">
        <f t="shared" si="52"/>
        <v>850</v>
      </c>
      <c r="J280" s="53">
        <f t="shared" si="53"/>
        <v>391.13754538680797</v>
      </c>
      <c r="K280" s="51">
        <f t="shared" si="50"/>
        <v>1241.1375453868079</v>
      </c>
    </row>
    <row r="281" spans="2:14" ht="29" x14ac:dyDescent="0.35">
      <c r="B281" s="11" t="s">
        <v>519</v>
      </c>
      <c r="C281" s="10" t="str">
        <f>"Suministro de materiales y  mano de obra para la realizacion de mantenimiento de "&amp;'Aux 3p y Anexo'!B178</f>
        <v xml:space="preserve">Suministro de materiales y  mano de obra para la realizacion de mantenimiento de </v>
      </c>
      <c r="D281" s="11" t="s">
        <v>26</v>
      </c>
      <c r="E281" s="164">
        <f t="shared" si="48"/>
        <v>10</v>
      </c>
      <c r="F281" s="14">
        <f t="shared" si="51"/>
        <v>1241.1375453868079</v>
      </c>
      <c r="G281" s="14">
        <f t="shared" si="49"/>
        <v>12411.375453868079</v>
      </c>
      <c r="I281" s="165">
        <f t="shared" si="52"/>
        <v>850</v>
      </c>
      <c r="J281" s="53">
        <f t="shared" si="53"/>
        <v>391.13754538680797</v>
      </c>
      <c r="K281" s="51">
        <f t="shared" si="50"/>
        <v>1241.1375453868079</v>
      </c>
    </row>
    <row r="282" spans="2:14" ht="29" x14ac:dyDescent="0.35">
      <c r="B282" s="11" t="s">
        <v>520</v>
      </c>
      <c r="C282" s="10" t="str">
        <f>"Suministro de materiales y  mano de obra para la realizacion de mantenimiento de "&amp;'Aux 3p y Anexo'!B179</f>
        <v xml:space="preserve">Suministro de materiales y  mano de obra para la realizacion de mantenimiento de </v>
      </c>
      <c r="D282" s="11" t="s">
        <v>26</v>
      </c>
      <c r="E282" s="164">
        <f t="shared" si="48"/>
        <v>9</v>
      </c>
      <c r="F282" s="14">
        <f t="shared" si="51"/>
        <v>5110.5663633574441</v>
      </c>
      <c r="G282" s="14">
        <f t="shared" si="49"/>
        <v>45995.097270216997</v>
      </c>
      <c r="I282" s="165">
        <f t="shared" si="52"/>
        <v>3500</v>
      </c>
      <c r="J282" s="53">
        <f t="shared" si="53"/>
        <v>1610.5663633574445</v>
      </c>
      <c r="K282" s="51">
        <f t="shared" si="50"/>
        <v>5110.5663633574441</v>
      </c>
    </row>
    <row r="283" spans="2:14" ht="29" x14ac:dyDescent="0.35">
      <c r="B283" s="11" t="s">
        <v>521</v>
      </c>
      <c r="C283" s="10" t="str">
        <f>"Suministro de materiales y  mano de obra para la realizacion de mantenimiento de "&amp;'Aux 3p y Anexo'!B180</f>
        <v xml:space="preserve">Suministro de materiales y  mano de obra para la realizacion de mantenimiento de </v>
      </c>
      <c r="D283" s="11" t="s">
        <v>26</v>
      </c>
      <c r="E283" s="164">
        <f t="shared" si="48"/>
        <v>13</v>
      </c>
      <c r="F283" s="14">
        <f t="shared" si="51"/>
        <v>219.02427271531906</v>
      </c>
      <c r="G283" s="14">
        <f t="shared" si="49"/>
        <v>2847.3155452991477</v>
      </c>
      <c r="I283" s="165">
        <f t="shared" si="52"/>
        <v>150</v>
      </c>
      <c r="J283" s="53">
        <f t="shared" si="53"/>
        <v>69.024272715319043</v>
      </c>
      <c r="K283" s="51">
        <f t="shared" si="50"/>
        <v>219.02427271531906</v>
      </c>
      <c r="M283" s="53"/>
      <c r="N283" s="53"/>
    </row>
    <row r="284" spans="2:14" ht="29" x14ac:dyDescent="0.35">
      <c r="B284" s="11" t="s">
        <v>522</v>
      </c>
      <c r="C284" s="10" t="str">
        <f>"Suministro de materiales y  mano de obra para la realizacion de mantenimiento de "&amp;'Aux 3p y Anexo'!B181</f>
        <v xml:space="preserve">Suministro de materiales y  mano de obra para la realizacion de mantenimiento de </v>
      </c>
      <c r="D284" s="11" t="s">
        <v>26</v>
      </c>
      <c r="E284" s="164">
        <f t="shared" si="48"/>
        <v>165</v>
      </c>
      <c r="F284" s="14">
        <f t="shared" si="51"/>
        <v>219.02427271531906</v>
      </c>
      <c r="G284" s="14">
        <f t="shared" si="49"/>
        <v>36139.004998027645</v>
      </c>
      <c r="I284" s="165">
        <f t="shared" si="52"/>
        <v>150</v>
      </c>
      <c r="J284" s="53">
        <f t="shared" si="53"/>
        <v>69.024272715319043</v>
      </c>
      <c r="K284" s="51">
        <f t="shared" si="50"/>
        <v>219.02427271531906</v>
      </c>
    </row>
    <row r="285" spans="2:14" ht="29" x14ac:dyDescent="0.35">
      <c r="B285" s="11" t="s">
        <v>523</v>
      </c>
      <c r="C285" s="10" t="str">
        <f>"Suministro de materiales y  mano de obra para la realizacion de mantenimiento de "&amp;'Aux 3p y Anexo'!B182</f>
        <v xml:space="preserve">Suministro de materiales y  mano de obra para la realizacion de mantenimiento de </v>
      </c>
      <c r="D285" s="11" t="s">
        <v>26</v>
      </c>
      <c r="E285" s="164">
        <f t="shared" si="48"/>
        <v>165</v>
      </c>
      <c r="F285" s="14">
        <f t="shared" si="51"/>
        <v>219.02427271531906</v>
      </c>
      <c r="G285" s="14">
        <f t="shared" si="49"/>
        <v>36139.004998027645</v>
      </c>
      <c r="I285" s="165">
        <f t="shared" si="52"/>
        <v>150</v>
      </c>
      <c r="J285" s="53">
        <f t="shared" si="53"/>
        <v>69.024272715319043</v>
      </c>
      <c r="K285" s="51">
        <f t="shared" si="50"/>
        <v>219.02427271531906</v>
      </c>
    </row>
    <row r="286" spans="2:14" ht="29" x14ac:dyDescent="0.35">
      <c r="B286" s="11" t="s">
        <v>524</v>
      </c>
      <c r="C286" s="10" t="str">
        <f>"Suministro de materiales y  mano de obra para la realizacion de mantenimiento de "&amp;'Aux 3p y Anexo'!B183</f>
        <v xml:space="preserve">Suministro de materiales y  mano de obra para la realizacion de mantenimiento de </v>
      </c>
      <c r="D286" s="11" t="s">
        <v>26</v>
      </c>
      <c r="E286" s="164">
        <f t="shared" si="48"/>
        <v>5</v>
      </c>
      <c r="F286" s="14">
        <f t="shared" si="51"/>
        <v>219.02427271531906</v>
      </c>
      <c r="G286" s="14">
        <f t="shared" si="49"/>
        <v>1095.1213635765953</v>
      </c>
      <c r="I286" s="165">
        <f t="shared" si="52"/>
        <v>150</v>
      </c>
      <c r="J286" s="53">
        <f t="shared" si="53"/>
        <v>69.024272715319043</v>
      </c>
      <c r="K286" s="51">
        <f t="shared" si="50"/>
        <v>219.02427271531906</v>
      </c>
    </row>
    <row r="287" spans="2:14" ht="29" x14ac:dyDescent="0.35">
      <c r="B287" s="11" t="s">
        <v>525</v>
      </c>
      <c r="C287" s="10" t="str">
        <f>"Suministro de materiales y  mano de obra para la realizacion de mantenimiento de "&amp;'Aux 3p y Anexo'!B184</f>
        <v xml:space="preserve">Suministro de materiales y  mano de obra para la realizacion de mantenimiento de </v>
      </c>
      <c r="D287" s="11" t="s">
        <v>26</v>
      </c>
      <c r="E287" s="164">
        <f t="shared" si="48"/>
        <v>189</v>
      </c>
      <c r="F287" s="14">
        <f t="shared" si="51"/>
        <v>219.02427271531906</v>
      </c>
      <c r="G287" s="14">
        <f t="shared" si="49"/>
        <v>41395.587543195303</v>
      </c>
      <c r="I287" s="165">
        <f t="shared" si="52"/>
        <v>150</v>
      </c>
      <c r="J287" s="53">
        <f t="shared" si="53"/>
        <v>69.024272715319043</v>
      </c>
      <c r="K287" s="51">
        <f t="shared" si="50"/>
        <v>219.02427271531906</v>
      </c>
    </row>
    <row r="288" spans="2:14" ht="29" x14ac:dyDescent="0.35">
      <c r="B288" s="11" t="s">
        <v>526</v>
      </c>
      <c r="C288" s="10" t="str">
        <f>"Suministro de materiales y  mano de obra para la realizacion de mantenimiento de "&amp;'Aux 3p y Anexo'!B185</f>
        <v xml:space="preserve">Suministro de materiales y  mano de obra para la realizacion de mantenimiento de </v>
      </c>
      <c r="D288" s="11" t="s">
        <v>26</v>
      </c>
      <c r="E288" s="164">
        <f t="shared" si="48"/>
        <v>5</v>
      </c>
      <c r="F288" s="14">
        <f t="shared" si="51"/>
        <v>219.02427271531906</v>
      </c>
      <c r="G288" s="14">
        <f t="shared" si="49"/>
        <v>1095.1213635765953</v>
      </c>
      <c r="I288" s="165">
        <f t="shared" si="52"/>
        <v>150</v>
      </c>
      <c r="J288" s="53">
        <f t="shared" si="53"/>
        <v>69.024272715319043</v>
      </c>
      <c r="K288" s="51">
        <f t="shared" si="50"/>
        <v>219.02427271531906</v>
      </c>
    </row>
    <row r="289" spans="2:11" ht="29" x14ac:dyDescent="0.35">
      <c r="B289" s="11" t="s">
        <v>527</v>
      </c>
      <c r="C289" s="10" t="str">
        <f>"Suministro de materiales y  mano de obra para la realizacion de mantenimiento de "&amp;'Aux 3p y Anexo'!B186</f>
        <v xml:space="preserve">Suministro de materiales y  mano de obra para la realizacion de mantenimiento de </v>
      </c>
      <c r="D289" s="11" t="s">
        <v>26</v>
      </c>
      <c r="E289" s="164">
        <f t="shared" si="48"/>
        <v>9</v>
      </c>
      <c r="F289" s="14">
        <f t="shared" si="51"/>
        <v>219.02427271531906</v>
      </c>
      <c r="G289" s="14">
        <f t="shared" si="49"/>
        <v>1971.2184544378715</v>
      </c>
      <c r="I289" s="165">
        <f t="shared" si="52"/>
        <v>150</v>
      </c>
      <c r="J289" s="53">
        <f t="shared" si="53"/>
        <v>69.024272715319043</v>
      </c>
      <c r="K289" s="51">
        <f t="shared" si="50"/>
        <v>219.02427271531906</v>
      </c>
    </row>
    <row r="290" spans="2:11" ht="29" x14ac:dyDescent="0.35">
      <c r="B290" s="11" t="s">
        <v>528</v>
      </c>
      <c r="C290" s="10" t="str">
        <f>"Suministro de materiales y  mano de obra para la realizacion de mantenimiento de "&amp;'Aux 3p y Anexo'!B187</f>
        <v xml:space="preserve">Suministro de materiales y  mano de obra para la realizacion de mantenimiento de </v>
      </c>
      <c r="D290" s="11" t="s">
        <v>26</v>
      </c>
      <c r="E290" s="164">
        <f t="shared" si="48"/>
        <v>9</v>
      </c>
      <c r="F290" s="14">
        <f t="shared" si="51"/>
        <v>219.02427271531906</v>
      </c>
      <c r="G290" s="14">
        <f t="shared" si="49"/>
        <v>1971.2184544378715</v>
      </c>
      <c r="I290" s="165">
        <f t="shared" si="52"/>
        <v>150</v>
      </c>
      <c r="J290" s="53">
        <f t="shared" si="53"/>
        <v>69.024272715319043</v>
      </c>
      <c r="K290" s="51">
        <f t="shared" si="50"/>
        <v>219.02427271531906</v>
      </c>
    </row>
    <row r="291" spans="2:11" ht="29" x14ac:dyDescent="0.35">
      <c r="B291" s="11" t="s">
        <v>529</v>
      </c>
      <c r="C291" s="10" t="str">
        <f>"Suministro de materiales y  mano de obra para la realizacion de mantenimiento de "&amp;'Aux 3p y Anexo'!B188</f>
        <v xml:space="preserve">Suministro de materiales y  mano de obra para la realizacion de mantenimiento de </v>
      </c>
      <c r="D291" s="11" t="s">
        <v>26</v>
      </c>
      <c r="E291" s="164">
        <f t="shared" si="48"/>
        <v>24</v>
      </c>
      <c r="F291" s="14">
        <f t="shared" si="51"/>
        <v>1752.1941817225525</v>
      </c>
      <c r="G291" s="14">
        <f t="shared" si="49"/>
        <v>42052.660361341259</v>
      </c>
      <c r="I291" s="165">
        <f t="shared" si="52"/>
        <v>1200</v>
      </c>
      <c r="J291" s="53">
        <f t="shared" si="53"/>
        <v>552.19418172255234</v>
      </c>
      <c r="K291" s="51">
        <f t="shared" si="50"/>
        <v>1752.1941817225525</v>
      </c>
    </row>
    <row r="292" spans="2:11" ht="29" x14ac:dyDescent="0.35">
      <c r="B292" s="11" t="s">
        <v>530</v>
      </c>
      <c r="C292" s="10" t="str">
        <f>"Suministro de materiales y  mano de obra para la realizacion de mantenimiento de "&amp;'Aux 3p y Anexo'!B189</f>
        <v xml:space="preserve">Suministro de materiales y  mano de obra para la realizacion de mantenimiento de </v>
      </c>
      <c r="D292" s="11" t="s">
        <v>26</v>
      </c>
      <c r="E292" s="164">
        <f t="shared" si="48"/>
        <v>54</v>
      </c>
      <c r="F292" s="14">
        <f t="shared" si="51"/>
        <v>1752.1941817225525</v>
      </c>
      <c r="G292" s="14">
        <f t="shared" si="49"/>
        <v>94618.485813017833</v>
      </c>
      <c r="I292" s="165">
        <f t="shared" si="52"/>
        <v>1200</v>
      </c>
      <c r="J292" s="53">
        <f t="shared" si="53"/>
        <v>552.19418172255234</v>
      </c>
      <c r="K292" s="51">
        <f t="shared" si="50"/>
        <v>1752.1941817225525</v>
      </c>
    </row>
    <row r="293" spans="2:11" ht="29" x14ac:dyDescent="0.35">
      <c r="B293" s="11" t="s">
        <v>531</v>
      </c>
      <c r="C293" s="10" t="str">
        <f>"Suministro de materiales y  mano de obra para la realizacion de mantenimiento de "&amp;'Aux 3p y Anexo'!B190</f>
        <v xml:space="preserve">Suministro de materiales y  mano de obra para la realizacion de mantenimiento de </v>
      </c>
      <c r="D293" s="11" t="s">
        <v>26</v>
      </c>
      <c r="E293" s="164">
        <f t="shared" si="48"/>
        <v>26</v>
      </c>
      <c r="F293" s="14">
        <f t="shared" si="51"/>
        <v>1752.1941817225525</v>
      </c>
      <c r="G293" s="14">
        <f t="shared" si="49"/>
        <v>45557.048724786364</v>
      </c>
      <c r="I293" s="165">
        <f t="shared" si="52"/>
        <v>1200</v>
      </c>
      <c r="J293" s="53">
        <f t="shared" si="53"/>
        <v>552.19418172255234</v>
      </c>
      <c r="K293" s="51">
        <f t="shared" si="50"/>
        <v>1752.1941817225525</v>
      </c>
    </row>
    <row r="294" spans="2:11" ht="29" x14ac:dyDescent="0.35">
      <c r="B294" s="11" t="s">
        <v>532</v>
      </c>
      <c r="C294" s="10" t="str">
        <f>"Suministro de materiales y  mano de obra para la realizacion de mantenimiento de "&amp;'Aux 3p y Anexo'!B191</f>
        <v xml:space="preserve">Suministro de materiales y  mano de obra para la realizacion de mantenimiento de </v>
      </c>
      <c r="D294" s="11" t="s">
        <v>26</v>
      </c>
      <c r="E294" s="164">
        <f t="shared" si="48"/>
        <v>91</v>
      </c>
      <c r="F294" s="14">
        <f t="shared" si="51"/>
        <v>1241.1375453868079</v>
      </c>
      <c r="G294" s="14">
        <f t="shared" si="49"/>
        <v>112943.51663019952</v>
      </c>
      <c r="I294" s="165">
        <f t="shared" si="52"/>
        <v>850</v>
      </c>
      <c r="J294" s="53">
        <f t="shared" si="53"/>
        <v>391.13754538680797</v>
      </c>
      <c r="K294" s="51">
        <f t="shared" si="50"/>
        <v>1241.1375453868079</v>
      </c>
    </row>
    <row r="295" spans="2:11" ht="29" x14ac:dyDescent="0.35">
      <c r="B295" s="11" t="s">
        <v>533</v>
      </c>
      <c r="C295" s="10" t="str">
        <f>"Suministro de materiales y  mano de obra para la realizacion de mantenimiento de "&amp;'Aux 3p y Anexo'!B192</f>
        <v xml:space="preserve">Suministro de materiales y  mano de obra para la realizacion de mantenimiento de </v>
      </c>
      <c r="D295" s="11" t="s">
        <v>26</v>
      </c>
      <c r="E295" s="164">
        <f t="shared" si="48"/>
        <v>34</v>
      </c>
      <c r="F295" s="14">
        <f t="shared" si="51"/>
        <v>1241.1375453868079</v>
      </c>
      <c r="G295" s="14">
        <f t="shared" si="49"/>
        <v>42198.676543151472</v>
      </c>
      <c r="I295" s="165">
        <f t="shared" si="52"/>
        <v>850</v>
      </c>
      <c r="J295" s="53">
        <f t="shared" si="53"/>
        <v>391.13754538680797</v>
      </c>
      <c r="K295" s="51">
        <f t="shared" si="50"/>
        <v>1241.1375453868079</v>
      </c>
    </row>
    <row r="296" spans="2:11" ht="29" x14ac:dyDescent="0.35">
      <c r="B296" s="11" t="s">
        <v>534</v>
      </c>
      <c r="C296" s="10" t="str">
        <f>"Suministro de materiales y  mano de obra para la realizacion de mantenimiento de "&amp;'Aux 3p y Anexo'!B193</f>
        <v xml:space="preserve">Suministro de materiales y  mano de obra para la realizacion de mantenimiento de </v>
      </c>
      <c r="D296" s="11" t="s">
        <v>26</v>
      </c>
      <c r="E296" s="164">
        <f t="shared" si="48"/>
        <v>14</v>
      </c>
      <c r="F296" s="14">
        <f t="shared" si="51"/>
        <v>1241.1375453868079</v>
      </c>
      <c r="G296" s="14">
        <f t="shared" si="49"/>
        <v>17375.925635415311</v>
      </c>
      <c r="I296" s="165">
        <f t="shared" si="52"/>
        <v>850</v>
      </c>
      <c r="J296" s="53">
        <f t="shared" si="53"/>
        <v>391.13754538680797</v>
      </c>
      <c r="K296" s="51">
        <f t="shared" si="50"/>
        <v>1241.1375453868079</v>
      </c>
    </row>
    <row r="297" spans="2:11" ht="29" x14ac:dyDescent="0.35">
      <c r="B297" s="11" t="s">
        <v>535</v>
      </c>
      <c r="C297" s="10" t="str">
        <f>"Suministro de materiales y  mano de obra para la realizacion de mantenimiento de "&amp;'Aux 3p y Anexo'!B194</f>
        <v xml:space="preserve">Suministro de materiales y  mano de obra para la realizacion de mantenimiento de </v>
      </c>
      <c r="D297" s="11" t="s">
        <v>26</v>
      </c>
      <c r="E297" s="164">
        <f t="shared" si="48"/>
        <v>39</v>
      </c>
      <c r="F297" s="14">
        <f t="shared" si="51"/>
        <v>1241.1375453868079</v>
      </c>
      <c r="G297" s="14">
        <f t="shared" si="49"/>
        <v>48404.364270085505</v>
      </c>
      <c r="I297" s="165">
        <f t="shared" si="52"/>
        <v>850</v>
      </c>
      <c r="J297" s="53">
        <f t="shared" si="53"/>
        <v>391.13754538680797</v>
      </c>
      <c r="K297" s="51">
        <f t="shared" si="50"/>
        <v>1241.1375453868079</v>
      </c>
    </row>
    <row r="298" spans="2:11" ht="29" x14ac:dyDescent="0.35">
      <c r="B298" s="11" t="s">
        <v>536</v>
      </c>
      <c r="C298" s="10" t="str">
        <f>"Suministro de materiales y  mano de obra para la realizacion de mantenimiento de "&amp;'Aux 3p y Anexo'!B195</f>
        <v xml:space="preserve">Suministro de materiales y  mano de obra para la realizacion de mantenimiento de </v>
      </c>
      <c r="D298" s="11" t="s">
        <v>26</v>
      </c>
      <c r="E298" s="164">
        <f t="shared" si="48"/>
        <v>22</v>
      </c>
      <c r="F298" s="14">
        <f t="shared" si="51"/>
        <v>1241.1375453868079</v>
      </c>
      <c r="G298" s="14">
        <f t="shared" si="49"/>
        <v>27305.025998509773</v>
      </c>
      <c r="I298" s="165">
        <f t="shared" si="52"/>
        <v>850</v>
      </c>
      <c r="J298" s="53">
        <f t="shared" si="53"/>
        <v>391.13754538680797</v>
      </c>
      <c r="K298" s="51">
        <f t="shared" si="50"/>
        <v>1241.1375453868079</v>
      </c>
    </row>
    <row r="299" spans="2:11" ht="29" x14ac:dyDescent="0.35">
      <c r="B299" s="11" t="s">
        <v>537</v>
      </c>
      <c r="C299" s="10" t="str">
        <f>"Suministro de materiales y  mano de obra para la realizacion de mantenimiento de "&amp;'Aux 3p y Anexo'!B196</f>
        <v xml:space="preserve">Suministro de materiales y  mano de obra para la realizacion de mantenimiento de </v>
      </c>
      <c r="D299" s="11" t="s">
        <v>26</v>
      </c>
      <c r="E299" s="164">
        <f t="shared" si="48"/>
        <v>7</v>
      </c>
      <c r="F299" s="14">
        <f t="shared" si="51"/>
        <v>1241.1375453868079</v>
      </c>
      <c r="G299" s="14">
        <f t="shared" si="49"/>
        <v>8687.9628177076556</v>
      </c>
      <c r="I299" s="165">
        <f t="shared" si="52"/>
        <v>850</v>
      </c>
      <c r="J299" s="53">
        <f t="shared" si="53"/>
        <v>391.13754538680797</v>
      </c>
      <c r="K299" s="51">
        <f t="shared" si="50"/>
        <v>1241.1375453868079</v>
      </c>
    </row>
    <row r="300" spans="2:11" ht="29" x14ac:dyDescent="0.35">
      <c r="B300" s="11" t="s">
        <v>538</v>
      </c>
      <c r="C300" s="10" t="str">
        <f>"Suministro de materiales y  mano de obra para la realizacion de mantenimiento de "&amp;'Aux 3p y Anexo'!B197</f>
        <v xml:space="preserve">Suministro de materiales y  mano de obra para la realizacion de mantenimiento de </v>
      </c>
      <c r="D300" s="11" t="s">
        <v>26</v>
      </c>
      <c r="E300" s="164">
        <f t="shared" si="48"/>
        <v>4</v>
      </c>
      <c r="F300" s="14">
        <f t="shared" si="51"/>
        <v>1241.1375453868079</v>
      </c>
      <c r="G300" s="14">
        <f t="shared" si="49"/>
        <v>4964.5501815472317</v>
      </c>
      <c r="I300" s="165">
        <f t="shared" si="52"/>
        <v>850</v>
      </c>
      <c r="J300" s="53">
        <f t="shared" si="53"/>
        <v>391.13754538680797</v>
      </c>
      <c r="K300" s="51">
        <f t="shared" si="50"/>
        <v>1241.1375453868079</v>
      </c>
    </row>
    <row r="301" spans="2:11" ht="29" x14ac:dyDescent="0.35">
      <c r="B301" s="11" t="s">
        <v>539</v>
      </c>
      <c r="C301" s="10" t="str">
        <f>"Suministro de materiales y  mano de obra para la realizacion de mantenimiento de "&amp;'Aux 3p y Anexo'!B198</f>
        <v xml:space="preserve">Suministro de materiales y  mano de obra para la realizacion de mantenimiento de </v>
      </c>
      <c r="D301" s="11" t="s">
        <v>26</v>
      </c>
      <c r="E301" s="164">
        <f t="shared" si="48"/>
        <v>32</v>
      </c>
      <c r="F301" s="14">
        <f t="shared" si="51"/>
        <v>1241.1375453868079</v>
      </c>
      <c r="G301" s="14">
        <f t="shared" si="49"/>
        <v>39716.401452377853</v>
      </c>
      <c r="I301" s="165">
        <f t="shared" si="52"/>
        <v>850</v>
      </c>
      <c r="J301" s="53">
        <f t="shared" si="53"/>
        <v>391.13754538680797</v>
      </c>
      <c r="K301" s="51">
        <f t="shared" si="50"/>
        <v>1241.1375453868079</v>
      </c>
    </row>
    <row r="302" spans="2:11" ht="29" x14ac:dyDescent="0.35">
      <c r="B302" s="11" t="s">
        <v>540</v>
      </c>
      <c r="C302" s="10" t="str">
        <f>"Suministro de materiales y  mano de obra para la realizacion de mantenimiento de "&amp;'Aux 3p y Anexo'!B199</f>
        <v xml:space="preserve">Suministro de materiales y  mano de obra para la realizacion de mantenimiento de </v>
      </c>
      <c r="D302" s="11" t="s">
        <v>26</v>
      </c>
      <c r="E302" s="164">
        <f t="shared" si="48"/>
        <v>5</v>
      </c>
      <c r="F302" s="14">
        <f t="shared" si="51"/>
        <v>1241.1375453868079</v>
      </c>
      <c r="G302" s="14">
        <f t="shared" si="49"/>
        <v>6205.6877269340393</v>
      </c>
      <c r="I302" s="165">
        <f t="shared" si="52"/>
        <v>850</v>
      </c>
      <c r="J302" s="53">
        <f t="shared" si="53"/>
        <v>391.13754538680797</v>
      </c>
      <c r="K302" s="51">
        <f t="shared" si="50"/>
        <v>1241.1375453868079</v>
      </c>
    </row>
    <row r="303" spans="2:11" ht="29" x14ac:dyDescent="0.35">
      <c r="B303" s="11" t="s">
        <v>541</v>
      </c>
      <c r="C303" s="10" t="str">
        <f>"Suministro de materiales y  mano de obra para la realizacion de mantenimiento de "&amp;'Aux 3p y Anexo'!B200</f>
        <v xml:space="preserve">Suministro de materiales y  mano de obra para la realizacion de mantenimiento de </v>
      </c>
      <c r="D303" s="11" t="s">
        <v>26</v>
      </c>
      <c r="E303" s="164">
        <f t="shared" si="48"/>
        <v>2</v>
      </c>
      <c r="F303" s="14">
        <f t="shared" si="51"/>
        <v>1241.1375453868079</v>
      </c>
      <c r="G303" s="14">
        <f t="shared" si="49"/>
        <v>2482.2750907736158</v>
      </c>
      <c r="I303" s="165">
        <f t="shared" si="52"/>
        <v>850</v>
      </c>
      <c r="J303" s="53">
        <f t="shared" si="53"/>
        <v>391.13754538680797</v>
      </c>
      <c r="K303" s="51">
        <f t="shared" si="50"/>
        <v>1241.1375453868079</v>
      </c>
    </row>
    <row r="304" spans="2:11" ht="29" x14ac:dyDescent="0.35">
      <c r="B304" s="11" t="s">
        <v>542</v>
      </c>
      <c r="C304" s="10" t="str">
        <f>"Suministro de materiales y  mano de obra para la realizacion de mantenimiento de "&amp;'Aux 3p y Anexo'!B201</f>
        <v xml:space="preserve">Suministro de materiales y  mano de obra para la realizacion de mantenimiento de </v>
      </c>
      <c r="D304" s="11" t="s">
        <v>26</v>
      </c>
      <c r="E304" s="164">
        <f t="shared" si="48"/>
        <v>25</v>
      </c>
      <c r="F304" s="14">
        <f t="shared" si="51"/>
        <v>1241.1375453868079</v>
      </c>
      <c r="G304" s="14">
        <f t="shared" si="49"/>
        <v>31028.438634670198</v>
      </c>
      <c r="I304" s="165">
        <f t="shared" si="52"/>
        <v>850</v>
      </c>
      <c r="J304" s="53">
        <f t="shared" si="53"/>
        <v>391.13754538680797</v>
      </c>
      <c r="K304" s="51">
        <f t="shared" si="50"/>
        <v>1241.1375453868079</v>
      </c>
    </row>
    <row r="305" spans="2:11" ht="29" x14ac:dyDescent="0.35">
      <c r="B305" s="11" t="s">
        <v>543</v>
      </c>
      <c r="C305" s="10" t="str">
        <f>"Suministro de materiales y  mano de obra para la realizacion de mantenimiento de "&amp;'Aux 3p y Anexo'!B202</f>
        <v xml:space="preserve">Suministro de materiales y  mano de obra para la realizacion de mantenimiento de </v>
      </c>
      <c r="D305" s="11" t="s">
        <v>26</v>
      </c>
      <c r="E305" s="164">
        <f t="shared" si="48"/>
        <v>50</v>
      </c>
      <c r="F305" s="14">
        <f t="shared" si="51"/>
        <v>1241.1375453868079</v>
      </c>
      <c r="G305" s="14">
        <f t="shared" si="49"/>
        <v>62056.877269340395</v>
      </c>
      <c r="I305" s="165">
        <f t="shared" si="52"/>
        <v>850</v>
      </c>
      <c r="J305" s="53">
        <f t="shared" si="53"/>
        <v>391.13754538680797</v>
      </c>
      <c r="K305" s="51">
        <f t="shared" si="50"/>
        <v>1241.1375453868079</v>
      </c>
    </row>
    <row r="306" spans="2:11" ht="29" x14ac:dyDescent="0.35">
      <c r="B306" s="11" t="s">
        <v>544</v>
      </c>
      <c r="C306" s="10" t="str">
        <f>"Suministro de materiales y  mano de obra para la realizacion de mantenimiento de "&amp;'Aux 3p y Anexo'!B203</f>
        <v xml:space="preserve">Suministro de materiales y  mano de obra para la realizacion de mantenimiento de </v>
      </c>
      <c r="D306" s="11" t="s">
        <v>26</v>
      </c>
      <c r="E306" s="164">
        <f t="shared" si="48"/>
        <v>17</v>
      </c>
      <c r="F306" s="14">
        <f t="shared" si="51"/>
        <v>1241.1375453868079</v>
      </c>
      <c r="G306" s="14">
        <f t="shared" si="49"/>
        <v>21099.338271575736</v>
      </c>
      <c r="I306" s="165">
        <f t="shared" si="52"/>
        <v>850</v>
      </c>
      <c r="J306" s="53">
        <f t="shared" si="53"/>
        <v>391.13754538680797</v>
      </c>
      <c r="K306" s="51">
        <f t="shared" si="50"/>
        <v>1241.1375453868079</v>
      </c>
    </row>
    <row r="307" spans="2:11" ht="29" x14ac:dyDescent="0.35">
      <c r="B307" s="11" t="s">
        <v>545</v>
      </c>
      <c r="C307" s="10" t="str">
        <f>"Suministro de materiales y  mano de obra para la realizacion de mantenimiento de "&amp;'Aux 3p y Anexo'!B204</f>
        <v xml:space="preserve">Suministro de materiales y  mano de obra para la realizacion de mantenimiento de </v>
      </c>
      <c r="D307" s="11" t="s">
        <v>26</v>
      </c>
      <c r="E307" s="164">
        <f t="shared" si="48"/>
        <v>48</v>
      </c>
      <c r="F307" s="14">
        <f t="shared" si="51"/>
        <v>1241.1375453868079</v>
      </c>
      <c r="G307" s="14">
        <f t="shared" si="49"/>
        <v>59574.602178566784</v>
      </c>
      <c r="I307" s="165">
        <f t="shared" si="52"/>
        <v>850</v>
      </c>
      <c r="J307" s="53">
        <f t="shared" si="53"/>
        <v>391.13754538680797</v>
      </c>
      <c r="K307" s="51">
        <f t="shared" si="50"/>
        <v>1241.1375453868079</v>
      </c>
    </row>
    <row r="308" spans="2:11" ht="29" x14ac:dyDescent="0.35">
      <c r="B308" s="11" t="s">
        <v>546</v>
      </c>
      <c r="C308" s="10" t="str">
        <f>"Suministro de materiales y  mano de obra para la realizacion de mantenimiento de "&amp;'Aux 3p y Anexo'!B205</f>
        <v xml:space="preserve">Suministro de materiales y  mano de obra para la realizacion de mantenimiento de </v>
      </c>
      <c r="D308" s="11" t="s">
        <v>26</v>
      </c>
      <c r="E308" s="164">
        <f t="shared" si="48"/>
        <v>24</v>
      </c>
      <c r="F308" s="14">
        <f t="shared" si="51"/>
        <v>1241.1375453868079</v>
      </c>
      <c r="G308" s="14">
        <f t="shared" si="49"/>
        <v>29787.301089283392</v>
      </c>
      <c r="I308" s="165">
        <f t="shared" si="52"/>
        <v>850</v>
      </c>
      <c r="J308" s="53">
        <f t="shared" si="53"/>
        <v>391.13754538680797</v>
      </c>
      <c r="K308" s="51">
        <f t="shared" si="50"/>
        <v>1241.1375453868079</v>
      </c>
    </row>
    <row r="309" spans="2:11" ht="29" x14ac:dyDescent="0.35">
      <c r="B309" s="11" t="s">
        <v>547</v>
      </c>
      <c r="C309" s="10" t="str">
        <f>"Suministro de materiales y  mano de obra para la realizacion de mantenimiento de "&amp;'Aux 3p y Anexo'!B206</f>
        <v xml:space="preserve">Suministro de materiales y  mano de obra para la realizacion de mantenimiento de </v>
      </c>
      <c r="D309" s="11" t="s">
        <v>26</v>
      </c>
      <c r="E309" s="164">
        <f t="shared" si="48"/>
        <v>157</v>
      </c>
      <c r="F309" s="14">
        <f t="shared" si="51"/>
        <v>1241.1375453868079</v>
      </c>
      <c r="G309" s="14">
        <f t="shared" si="49"/>
        <v>194858.59462572885</v>
      </c>
      <c r="I309" s="165">
        <f t="shared" si="52"/>
        <v>850</v>
      </c>
      <c r="J309" s="53">
        <f t="shared" si="53"/>
        <v>391.13754538680797</v>
      </c>
      <c r="K309" s="51">
        <f t="shared" si="50"/>
        <v>1241.1375453868079</v>
      </c>
    </row>
    <row r="310" spans="2:11" ht="29" x14ac:dyDescent="0.35">
      <c r="B310" s="11" t="s">
        <v>548</v>
      </c>
      <c r="C310" s="10" t="str">
        <f>"Suministro de materiales y  mano de obra para la realizacion de mantenimiento de "&amp;'Aux 3p y Anexo'!B207</f>
        <v xml:space="preserve">Suministro de materiales y  mano de obra para la realizacion de mantenimiento de </v>
      </c>
      <c r="D310" s="11" t="s">
        <v>26</v>
      </c>
      <c r="E310" s="164">
        <f t="shared" si="48"/>
        <v>41</v>
      </c>
      <c r="F310" s="14">
        <f t="shared" si="51"/>
        <v>1241.1375453868079</v>
      </c>
      <c r="G310" s="14">
        <f t="shared" si="49"/>
        <v>50886.639360859124</v>
      </c>
      <c r="I310" s="165">
        <f t="shared" si="52"/>
        <v>850</v>
      </c>
      <c r="J310" s="53">
        <f t="shared" si="53"/>
        <v>391.13754538680797</v>
      </c>
      <c r="K310" s="51">
        <f t="shared" si="50"/>
        <v>1241.1375453868079</v>
      </c>
    </row>
    <row r="311" spans="2:11" ht="29" x14ac:dyDescent="0.35">
      <c r="B311" s="11" t="s">
        <v>549</v>
      </c>
      <c r="C311" s="10" t="str">
        <f>"Suministro de materiales y  mano de obra para la realizacion de mantenimiento de "&amp;'Aux 3p y Anexo'!B208</f>
        <v xml:space="preserve">Suministro de materiales y  mano de obra para la realizacion de mantenimiento de </v>
      </c>
      <c r="D311" s="11" t="s">
        <v>26</v>
      </c>
      <c r="E311" s="164">
        <f t="shared" si="48"/>
        <v>36</v>
      </c>
      <c r="F311" s="14">
        <f t="shared" si="51"/>
        <v>1241.1375453868079</v>
      </c>
      <c r="G311" s="14">
        <f t="shared" si="49"/>
        <v>44680.951633925084</v>
      </c>
      <c r="I311" s="165">
        <f t="shared" si="52"/>
        <v>850</v>
      </c>
      <c r="J311" s="53">
        <f t="shared" si="53"/>
        <v>391.13754538680797</v>
      </c>
      <c r="K311" s="51">
        <f t="shared" si="50"/>
        <v>1241.1375453868079</v>
      </c>
    </row>
    <row r="312" spans="2:11" ht="29" x14ac:dyDescent="0.35">
      <c r="B312" s="11" t="s">
        <v>550</v>
      </c>
      <c r="C312" s="10" t="str">
        <f>"Suministro de materiales y  mano de obra para la realizacion de mantenimiento de "&amp;'Aux 3p y Anexo'!B209</f>
        <v xml:space="preserve">Suministro de materiales y  mano de obra para la realizacion de mantenimiento de </v>
      </c>
      <c r="D312" s="11" t="s">
        <v>26</v>
      </c>
      <c r="E312" s="164">
        <f t="shared" si="48"/>
        <v>18</v>
      </c>
      <c r="F312" s="14">
        <f t="shared" si="51"/>
        <v>1241.1375453868079</v>
      </c>
      <c r="G312" s="14">
        <f t="shared" si="49"/>
        <v>22340.475816962542</v>
      </c>
      <c r="I312" s="165">
        <f t="shared" si="52"/>
        <v>850</v>
      </c>
      <c r="J312" s="53">
        <f t="shared" si="53"/>
        <v>391.13754538680797</v>
      </c>
      <c r="K312" s="51">
        <f t="shared" si="50"/>
        <v>1241.1375453868079</v>
      </c>
    </row>
    <row r="313" spans="2:11" ht="29" x14ac:dyDescent="0.35">
      <c r="B313" s="11" t="s">
        <v>551</v>
      </c>
      <c r="C313" s="10" t="str">
        <f>"Suministro de materiales y  mano de obra para la realizacion de mantenimiento de "&amp;'Aux 3p y Anexo'!B210</f>
        <v xml:space="preserve">Suministro de materiales y  mano de obra para la realizacion de mantenimiento de </v>
      </c>
      <c r="D313" s="11" t="s">
        <v>26</v>
      </c>
      <c r="E313" s="164">
        <f t="shared" si="48"/>
        <v>61</v>
      </c>
      <c r="F313" s="14">
        <f t="shared" si="51"/>
        <v>1241.1375453868079</v>
      </c>
      <c r="G313" s="14">
        <f t="shared" si="49"/>
        <v>75709.390268595278</v>
      </c>
      <c r="I313" s="165">
        <f t="shared" si="52"/>
        <v>850</v>
      </c>
      <c r="J313" s="53">
        <f t="shared" si="53"/>
        <v>391.13754538680797</v>
      </c>
      <c r="K313" s="51">
        <f t="shared" si="50"/>
        <v>1241.1375453868079</v>
      </c>
    </row>
    <row r="314" spans="2:11" ht="29" x14ac:dyDescent="0.35">
      <c r="B314" s="11" t="s">
        <v>552</v>
      </c>
      <c r="C314" s="10" t="str">
        <f>"Suministro de materiales y  mano de obra para la realizacion de mantenimiento de "&amp;'Aux 3p y Anexo'!B211</f>
        <v xml:space="preserve">Suministro de materiales y  mano de obra para la realizacion de mantenimiento de </v>
      </c>
      <c r="D314" s="11" t="s">
        <v>26</v>
      </c>
      <c r="E314" s="164">
        <f t="shared" si="48"/>
        <v>25</v>
      </c>
      <c r="F314" s="14">
        <f t="shared" si="51"/>
        <v>1241.1375453868079</v>
      </c>
      <c r="G314" s="14">
        <f t="shared" si="49"/>
        <v>31028.438634670198</v>
      </c>
      <c r="I314" s="165">
        <f t="shared" si="52"/>
        <v>850</v>
      </c>
      <c r="J314" s="53">
        <f t="shared" si="53"/>
        <v>391.13754538680797</v>
      </c>
      <c r="K314" s="51">
        <f t="shared" si="50"/>
        <v>1241.1375453868079</v>
      </c>
    </row>
    <row r="315" spans="2:11" ht="15" thickBot="1" x14ac:dyDescent="0.4">
      <c r="B315" s="161"/>
      <c r="C315" s="162"/>
      <c r="D315" s="65"/>
      <c r="E315" s="65"/>
      <c r="F315" s="152"/>
      <c r="G315" s="163"/>
      <c r="J315" s="118"/>
      <c r="K315" s="118"/>
    </row>
    <row r="316" spans="2:11" ht="29.5" thickBot="1" x14ac:dyDescent="0.4">
      <c r="B316" s="7" t="s">
        <v>259</v>
      </c>
      <c r="C316" s="8" t="s">
        <v>2</v>
      </c>
      <c r="D316" s="8" t="s">
        <v>3</v>
      </c>
      <c r="E316" s="8" t="s">
        <v>4</v>
      </c>
      <c r="F316" s="55" t="s">
        <v>79</v>
      </c>
      <c r="G316" s="56" t="s">
        <v>5</v>
      </c>
      <c r="H316" s="24"/>
      <c r="J316" s="46"/>
      <c r="K316" s="46"/>
    </row>
    <row r="317" spans="2:11" x14ac:dyDescent="0.35">
      <c r="B317" s="151" t="s">
        <v>11</v>
      </c>
      <c r="C317" s="156" t="s">
        <v>12</v>
      </c>
      <c r="D317" s="11" t="s">
        <v>26</v>
      </c>
      <c r="E317" s="62">
        <v>1</v>
      </c>
      <c r="F317" s="158">
        <f>SUM(G318:G348)</f>
        <v>4719257.5977242542</v>
      </c>
      <c r="G317" s="158">
        <f>E317*F317</f>
        <v>4719257.5977242542</v>
      </c>
      <c r="H317" s="46"/>
      <c r="J317" s="46"/>
      <c r="K317" s="46"/>
    </row>
    <row r="318" spans="2:11" x14ac:dyDescent="0.35">
      <c r="B318" s="9" t="s">
        <v>553</v>
      </c>
      <c r="C318" s="10" t="s">
        <v>237</v>
      </c>
      <c r="D318" s="11" t="s">
        <v>13</v>
      </c>
      <c r="E318" s="164">
        <f t="shared" ref="E318:E348" si="54">E147</f>
        <v>800</v>
      </c>
      <c r="F318" s="57">
        <f>K318</f>
        <v>511.05663633574443</v>
      </c>
      <c r="G318" s="15">
        <f>E318*F318</f>
        <v>408845.30906859552</v>
      </c>
      <c r="I318" s="165">
        <f t="shared" ref="I318:I348" si="55">I147</f>
        <v>350</v>
      </c>
      <c r="J318" s="53">
        <f t="shared" ref="J318:J340" si="56">((I318*0.5*$I$3)+(I318*0.5*$I$4))*$I$2</f>
        <v>161.05663633574446</v>
      </c>
      <c r="K318" s="53">
        <f t="shared" ref="K318:K348" si="57">I318+J318</f>
        <v>511.05663633574443</v>
      </c>
    </row>
    <row r="319" spans="2:11" x14ac:dyDescent="0.35">
      <c r="B319" s="9" t="s">
        <v>554</v>
      </c>
      <c r="C319" s="10" t="s">
        <v>236</v>
      </c>
      <c r="D319" s="11" t="s">
        <v>13</v>
      </c>
      <c r="E319" s="164">
        <f t="shared" si="54"/>
        <v>60</v>
      </c>
      <c r="F319" s="14">
        <f>K319</f>
        <v>1022.1132726714889</v>
      </c>
      <c r="G319" s="15">
        <f t="shared" ref="G319:G348" si="58">E319*F319</f>
        <v>61326.796360289329</v>
      </c>
      <c r="I319" s="165">
        <f t="shared" si="55"/>
        <v>700</v>
      </c>
      <c r="J319" s="53">
        <f t="shared" si="56"/>
        <v>322.11327267148891</v>
      </c>
      <c r="K319" s="53">
        <f t="shared" si="57"/>
        <v>1022.1132726714889</v>
      </c>
    </row>
    <row r="320" spans="2:11" x14ac:dyDescent="0.35">
      <c r="B320" s="9" t="s">
        <v>555</v>
      </c>
      <c r="C320" s="10" t="s">
        <v>14</v>
      </c>
      <c r="D320" s="11" t="s">
        <v>7</v>
      </c>
      <c r="E320" s="164">
        <f t="shared" si="54"/>
        <v>10</v>
      </c>
      <c r="F320" s="14">
        <f t="shared" ref="F320:F347" si="59">K320</f>
        <v>5110.5663633574441</v>
      </c>
      <c r="G320" s="15">
        <f t="shared" si="58"/>
        <v>51105.663633574441</v>
      </c>
      <c r="I320" s="165">
        <f t="shared" si="55"/>
        <v>3500</v>
      </c>
      <c r="J320" s="53">
        <f t="shared" si="56"/>
        <v>1610.5663633574445</v>
      </c>
      <c r="K320" s="53">
        <f t="shared" si="57"/>
        <v>5110.5663633574441</v>
      </c>
    </row>
    <row r="321" spans="2:11" x14ac:dyDescent="0.35">
      <c r="B321" s="9" t="s">
        <v>556</v>
      </c>
      <c r="C321" s="10" t="s">
        <v>15</v>
      </c>
      <c r="D321" s="11" t="s">
        <v>13</v>
      </c>
      <c r="E321" s="164">
        <f t="shared" si="54"/>
        <v>60</v>
      </c>
      <c r="F321" s="14">
        <f t="shared" si="59"/>
        <v>2336.258908963403</v>
      </c>
      <c r="G321" s="15">
        <f t="shared" si="58"/>
        <v>140175.53453780417</v>
      </c>
      <c r="I321" s="165">
        <f t="shared" si="55"/>
        <v>1600</v>
      </c>
      <c r="J321" s="53">
        <f t="shared" si="56"/>
        <v>736.2589089634032</v>
      </c>
      <c r="K321" s="53">
        <f t="shared" si="57"/>
        <v>2336.258908963403</v>
      </c>
    </row>
    <row r="322" spans="2:11" x14ac:dyDescent="0.35">
      <c r="B322" s="9" t="s">
        <v>557</v>
      </c>
      <c r="C322" s="10" t="s">
        <v>16</v>
      </c>
      <c r="D322" s="11" t="s">
        <v>13</v>
      </c>
      <c r="E322" s="164">
        <f t="shared" si="54"/>
        <v>60</v>
      </c>
      <c r="F322" s="14">
        <f t="shared" si="59"/>
        <v>2482.2750907736158</v>
      </c>
      <c r="G322" s="15">
        <f t="shared" si="58"/>
        <v>148936.50544641694</v>
      </c>
      <c r="I322" s="165">
        <f t="shared" si="55"/>
        <v>1700</v>
      </c>
      <c r="J322" s="53">
        <f t="shared" si="56"/>
        <v>782.27509077361594</v>
      </c>
      <c r="K322" s="53">
        <f t="shared" si="57"/>
        <v>2482.2750907736158</v>
      </c>
    </row>
    <row r="323" spans="2:11" x14ac:dyDescent="0.35">
      <c r="B323" s="9" t="s">
        <v>558</v>
      </c>
      <c r="C323" s="10" t="s">
        <v>17</v>
      </c>
      <c r="D323" s="11" t="s">
        <v>13</v>
      </c>
      <c r="E323" s="164">
        <f t="shared" si="54"/>
        <v>30</v>
      </c>
      <c r="F323" s="14">
        <f t="shared" si="59"/>
        <v>2190.2427271531906</v>
      </c>
      <c r="G323" s="15">
        <f t="shared" si="58"/>
        <v>65707.281814595714</v>
      </c>
      <c r="I323" s="165">
        <f t="shared" si="55"/>
        <v>1500</v>
      </c>
      <c r="J323" s="53">
        <f t="shared" si="56"/>
        <v>690.24272715319046</v>
      </c>
      <c r="K323" s="53">
        <f t="shared" si="57"/>
        <v>2190.2427271531906</v>
      </c>
    </row>
    <row r="324" spans="2:11" x14ac:dyDescent="0.35">
      <c r="B324" s="9" t="s">
        <v>559</v>
      </c>
      <c r="C324" s="10" t="s">
        <v>18</v>
      </c>
      <c r="D324" s="11" t="s">
        <v>13</v>
      </c>
      <c r="E324" s="164">
        <f t="shared" si="54"/>
        <v>30</v>
      </c>
      <c r="F324" s="14">
        <f t="shared" si="59"/>
        <v>2920.3236362042539</v>
      </c>
      <c r="G324" s="15">
        <f t="shared" si="58"/>
        <v>87609.709086127623</v>
      </c>
      <c r="I324" s="165">
        <f t="shared" si="55"/>
        <v>2000</v>
      </c>
      <c r="J324" s="53">
        <f t="shared" si="56"/>
        <v>920.32363620425406</v>
      </c>
      <c r="K324" s="53">
        <f t="shared" si="57"/>
        <v>2920.3236362042539</v>
      </c>
    </row>
    <row r="325" spans="2:11" x14ac:dyDescent="0.35">
      <c r="B325" s="9" t="s">
        <v>560</v>
      </c>
      <c r="C325" s="10" t="s">
        <v>19</v>
      </c>
      <c r="D325" s="11" t="s">
        <v>13</v>
      </c>
      <c r="E325" s="164">
        <f t="shared" si="54"/>
        <v>30</v>
      </c>
      <c r="F325" s="14">
        <f t="shared" si="59"/>
        <v>3650.4045452553173</v>
      </c>
      <c r="G325" s="15">
        <f t="shared" si="58"/>
        <v>109512.13635765952</v>
      </c>
      <c r="I325" s="165">
        <f t="shared" si="55"/>
        <v>2500</v>
      </c>
      <c r="J325" s="53">
        <f t="shared" si="56"/>
        <v>1150.4045452553173</v>
      </c>
      <c r="K325" s="53">
        <f t="shared" si="57"/>
        <v>3650.4045452553173</v>
      </c>
    </row>
    <row r="326" spans="2:11" x14ac:dyDescent="0.35">
      <c r="B326" s="9" t="s">
        <v>561</v>
      </c>
      <c r="C326" s="10" t="s">
        <v>20</v>
      </c>
      <c r="D326" s="11" t="s">
        <v>13</v>
      </c>
      <c r="E326" s="164">
        <f t="shared" si="54"/>
        <v>30</v>
      </c>
      <c r="F326" s="14">
        <f t="shared" si="59"/>
        <v>2920.3236362042539</v>
      </c>
      <c r="G326" s="15">
        <f t="shared" si="58"/>
        <v>87609.709086127623</v>
      </c>
      <c r="I326" s="165">
        <f t="shared" si="55"/>
        <v>2000</v>
      </c>
      <c r="J326" s="53">
        <f t="shared" si="56"/>
        <v>920.32363620425406</v>
      </c>
      <c r="K326" s="53">
        <f t="shared" si="57"/>
        <v>2920.3236362042539</v>
      </c>
    </row>
    <row r="327" spans="2:11" x14ac:dyDescent="0.35">
      <c r="B327" s="9" t="s">
        <v>562</v>
      </c>
      <c r="C327" s="10" t="s">
        <v>21</v>
      </c>
      <c r="D327" s="11" t="s">
        <v>13</v>
      </c>
      <c r="E327" s="164">
        <f t="shared" si="54"/>
        <v>300</v>
      </c>
      <c r="F327" s="14">
        <f t="shared" si="59"/>
        <v>949.10518176638254</v>
      </c>
      <c r="G327" s="15">
        <f t="shared" si="58"/>
        <v>284731.55452991475</v>
      </c>
      <c r="I327" s="165">
        <f t="shared" si="55"/>
        <v>650</v>
      </c>
      <c r="J327" s="53">
        <f t="shared" si="56"/>
        <v>299.10518176638254</v>
      </c>
      <c r="K327" s="53">
        <f t="shared" si="57"/>
        <v>949.10518176638254</v>
      </c>
    </row>
    <row r="328" spans="2:11" x14ac:dyDescent="0.35">
      <c r="B328" s="9" t="s">
        <v>563</v>
      </c>
      <c r="C328" s="10" t="s">
        <v>22</v>
      </c>
      <c r="D328" s="11" t="s">
        <v>23</v>
      </c>
      <c r="E328" s="164">
        <f t="shared" si="54"/>
        <v>8</v>
      </c>
      <c r="F328" s="14">
        <f t="shared" si="59"/>
        <v>6862.7605450799965</v>
      </c>
      <c r="G328" s="15">
        <f t="shared" si="58"/>
        <v>54902.084360639972</v>
      </c>
      <c r="I328" s="165">
        <f t="shared" si="55"/>
        <v>4700</v>
      </c>
      <c r="J328" s="53">
        <f t="shared" si="56"/>
        <v>2162.760545079997</v>
      </c>
      <c r="K328" s="53">
        <f t="shared" si="57"/>
        <v>6862.7605450799965</v>
      </c>
    </row>
    <row r="329" spans="2:11" x14ac:dyDescent="0.35">
      <c r="B329" s="9" t="s">
        <v>564</v>
      </c>
      <c r="C329" s="10" t="s">
        <v>24</v>
      </c>
      <c r="D329" s="11" t="s">
        <v>23</v>
      </c>
      <c r="E329" s="164">
        <f t="shared" si="54"/>
        <v>100</v>
      </c>
      <c r="F329" s="14">
        <f t="shared" si="59"/>
        <v>306.63398180144668</v>
      </c>
      <c r="G329" s="15">
        <f t="shared" si="58"/>
        <v>30663.398180144668</v>
      </c>
      <c r="I329" s="165">
        <f t="shared" si="55"/>
        <v>210</v>
      </c>
      <c r="J329" s="53">
        <f t="shared" si="56"/>
        <v>96.633981801446666</v>
      </c>
      <c r="K329" s="53">
        <f t="shared" si="57"/>
        <v>306.63398180144668</v>
      </c>
    </row>
    <row r="330" spans="2:11" x14ac:dyDescent="0.35">
      <c r="B330" s="9" t="s">
        <v>565</v>
      </c>
      <c r="C330" s="10" t="s">
        <v>25</v>
      </c>
      <c r="D330" s="11" t="s">
        <v>26</v>
      </c>
      <c r="E330" s="164">
        <f t="shared" si="54"/>
        <v>4</v>
      </c>
      <c r="F330" s="14">
        <f t="shared" si="59"/>
        <v>21902.427271531902</v>
      </c>
      <c r="G330" s="15">
        <f t="shared" si="58"/>
        <v>87609.709086127608</v>
      </c>
      <c r="I330" s="165">
        <f t="shared" si="55"/>
        <v>15000</v>
      </c>
      <c r="J330" s="53">
        <f t="shared" si="56"/>
        <v>6902.4272715319039</v>
      </c>
      <c r="K330" s="53">
        <f t="shared" si="57"/>
        <v>21902.427271531902</v>
      </c>
    </row>
    <row r="331" spans="2:11" x14ac:dyDescent="0.35">
      <c r="B331" s="9" t="s">
        <v>566</v>
      </c>
      <c r="C331" s="10" t="s">
        <v>27</v>
      </c>
      <c r="D331" s="11" t="s">
        <v>26</v>
      </c>
      <c r="E331" s="164">
        <f t="shared" si="54"/>
        <v>180</v>
      </c>
      <c r="F331" s="14">
        <f t="shared" si="59"/>
        <v>61.326796360289336</v>
      </c>
      <c r="G331" s="15">
        <f t="shared" si="58"/>
        <v>11038.82334485208</v>
      </c>
      <c r="I331" s="165">
        <f t="shared" si="55"/>
        <v>42</v>
      </c>
      <c r="J331" s="53">
        <f t="shared" si="56"/>
        <v>19.326796360289332</v>
      </c>
      <c r="K331" s="53">
        <f t="shared" si="57"/>
        <v>61.326796360289336</v>
      </c>
    </row>
    <row r="332" spans="2:11" ht="29" x14ac:dyDescent="0.35">
      <c r="B332" s="9" t="s">
        <v>567</v>
      </c>
      <c r="C332" s="10" t="s">
        <v>28</v>
      </c>
      <c r="D332" s="11" t="s">
        <v>26</v>
      </c>
      <c r="E332" s="164">
        <f t="shared" si="54"/>
        <v>10</v>
      </c>
      <c r="F332" s="14">
        <f t="shared" si="59"/>
        <v>5110.5663633574441</v>
      </c>
      <c r="G332" s="15">
        <f t="shared" si="58"/>
        <v>51105.663633574441</v>
      </c>
      <c r="I332" s="165">
        <f t="shared" si="55"/>
        <v>3500</v>
      </c>
      <c r="J332" s="53">
        <f t="shared" si="56"/>
        <v>1610.5663633574445</v>
      </c>
      <c r="K332" s="53">
        <f t="shared" si="57"/>
        <v>5110.5663633574441</v>
      </c>
    </row>
    <row r="333" spans="2:11" ht="29" x14ac:dyDescent="0.35">
      <c r="B333" s="9" t="s">
        <v>568</v>
      </c>
      <c r="C333" s="10" t="s">
        <v>29</v>
      </c>
      <c r="D333" s="11" t="s">
        <v>26</v>
      </c>
      <c r="E333" s="164">
        <f t="shared" si="54"/>
        <v>10</v>
      </c>
      <c r="F333" s="14">
        <f t="shared" si="59"/>
        <v>4088.4530906859554</v>
      </c>
      <c r="G333" s="15">
        <f t="shared" si="58"/>
        <v>40884.530906859552</v>
      </c>
      <c r="I333" s="165">
        <f t="shared" si="55"/>
        <v>2800</v>
      </c>
      <c r="J333" s="53">
        <f t="shared" si="56"/>
        <v>1288.4530906859557</v>
      </c>
      <c r="K333" s="53">
        <f t="shared" si="57"/>
        <v>4088.4530906859554</v>
      </c>
    </row>
    <row r="334" spans="2:11" x14ac:dyDescent="0.35">
      <c r="B334" s="9" t="s">
        <v>569</v>
      </c>
      <c r="C334" s="21" t="s">
        <v>391</v>
      </c>
      <c r="D334" s="11" t="s">
        <v>26</v>
      </c>
      <c r="E334" s="164">
        <f t="shared" si="54"/>
        <v>10</v>
      </c>
      <c r="F334" s="14">
        <f t="shared" si="59"/>
        <v>4088.4530906859554</v>
      </c>
      <c r="G334" s="15">
        <f t="shared" si="58"/>
        <v>40884.530906859552</v>
      </c>
      <c r="I334" s="165">
        <f t="shared" si="55"/>
        <v>2800</v>
      </c>
      <c r="J334" s="53">
        <f t="shared" si="56"/>
        <v>1288.4530906859557</v>
      </c>
      <c r="K334" s="53">
        <f t="shared" si="57"/>
        <v>4088.4530906859554</v>
      </c>
    </row>
    <row r="335" spans="2:11" x14ac:dyDescent="0.35">
      <c r="B335" s="9" t="s">
        <v>570</v>
      </c>
      <c r="C335" s="21" t="s">
        <v>392</v>
      </c>
      <c r="D335" s="11" t="s">
        <v>26</v>
      </c>
      <c r="E335" s="164">
        <f t="shared" si="54"/>
        <v>10</v>
      </c>
      <c r="F335" s="14">
        <f t="shared" si="59"/>
        <v>8030.8899995616985</v>
      </c>
      <c r="G335" s="15">
        <f t="shared" si="58"/>
        <v>80308.899995616986</v>
      </c>
      <c r="I335" s="165">
        <f t="shared" si="55"/>
        <v>5500</v>
      </c>
      <c r="J335" s="53">
        <f t="shared" si="56"/>
        <v>2530.8899995616985</v>
      </c>
      <c r="K335" s="53">
        <f t="shared" si="57"/>
        <v>8030.8899995616985</v>
      </c>
    </row>
    <row r="336" spans="2:11" ht="29" x14ac:dyDescent="0.35">
      <c r="B336" s="9" t="s">
        <v>571</v>
      </c>
      <c r="C336" s="21" t="s">
        <v>393</v>
      </c>
      <c r="D336" s="11" t="s">
        <v>81</v>
      </c>
      <c r="E336" s="164">
        <f t="shared" si="54"/>
        <v>2400</v>
      </c>
      <c r="F336" s="14">
        <f t="shared" si="59"/>
        <v>365.04045452553174</v>
      </c>
      <c r="G336" s="15">
        <f t="shared" si="58"/>
        <v>876097.09086127614</v>
      </c>
      <c r="I336" s="165">
        <f t="shared" si="55"/>
        <v>250</v>
      </c>
      <c r="J336" s="53">
        <f t="shared" si="56"/>
        <v>115.04045452553176</v>
      </c>
      <c r="K336" s="53">
        <f t="shared" si="57"/>
        <v>365.04045452553174</v>
      </c>
    </row>
    <row r="337" spans="2:14" ht="43.5" x14ac:dyDescent="0.35">
      <c r="B337" s="9" t="s">
        <v>572</v>
      </c>
      <c r="C337" s="21" t="s">
        <v>394</v>
      </c>
      <c r="D337" s="11" t="s">
        <v>81</v>
      </c>
      <c r="E337" s="164">
        <f t="shared" si="54"/>
        <v>2400</v>
      </c>
      <c r="F337" s="14">
        <f t="shared" si="59"/>
        <v>511.05663633574443</v>
      </c>
      <c r="G337" s="15">
        <f t="shared" si="58"/>
        <v>1226535.9272057866</v>
      </c>
      <c r="I337" s="165">
        <f t="shared" si="55"/>
        <v>350</v>
      </c>
      <c r="J337" s="53">
        <f t="shared" si="56"/>
        <v>161.05663633574446</v>
      </c>
      <c r="K337" s="53">
        <f t="shared" si="57"/>
        <v>511.05663633574443</v>
      </c>
    </row>
    <row r="338" spans="2:14" ht="29" x14ac:dyDescent="0.35">
      <c r="B338" s="9" t="s">
        <v>573</v>
      </c>
      <c r="C338" s="21" t="s">
        <v>395</v>
      </c>
      <c r="D338" s="11" t="s">
        <v>26</v>
      </c>
      <c r="E338" s="164">
        <f t="shared" si="54"/>
        <v>10</v>
      </c>
      <c r="F338" s="14">
        <f t="shared" si="59"/>
        <v>511.05663633574443</v>
      </c>
      <c r="G338" s="15">
        <f t="shared" si="58"/>
        <v>5110.5663633574441</v>
      </c>
      <c r="I338" s="165">
        <f t="shared" si="55"/>
        <v>350</v>
      </c>
      <c r="J338" s="53">
        <f t="shared" si="56"/>
        <v>161.05663633574446</v>
      </c>
      <c r="K338" s="53">
        <f t="shared" si="57"/>
        <v>511.05663633574443</v>
      </c>
    </row>
    <row r="339" spans="2:14" ht="29" x14ac:dyDescent="0.35">
      <c r="B339" s="9" t="s">
        <v>574</v>
      </c>
      <c r="C339" s="21" t="s">
        <v>396</v>
      </c>
      <c r="D339" s="11" t="s">
        <v>26</v>
      </c>
      <c r="E339" s="164">
        <f t="shared" si="54"/>
        <v>5</v>
      </c>
      <c r="F339" s="14">
        <f t="shared" si="59"/>
        <v>1387.1537271970205</v>
      </c>
      <c r="G339" s="15">
        <f t="shared" si="58"/>
        <v>6935.7686359851032</v>
      </c>
      <c r="I339" s="165">
        <f t="shared" si="55"/>
        <v>950</v>
      </c>
      <c r="J339" s="53">
        <f t="shared" si="56"/>
        <v>437.1537271970206</v>
      </c>
      <c r="K339" s="53">
        <f t="shared" si="57"/>
        <v>1387.1537271970205</v>
      </c>
    </row>
    <row r="340" spans="2:14" x14ac:dyDescent="0.35">
      <c r="B340" s="9" t="s">
        <v>575</v>
      </c>
      <c r="C340" s="21" t="s">
        <v>80</v>
      </c>
      <c r="D340" s="11" t="s">
        <v>81</v>
      </c>
      <c r="E340" s="164">
        <f t="shared" si="54"/>
        <v>250</v>
      </c>
      <c r="F340" s="14">
        <f t="shared" si="59"/>
        <v>803.0889999561698</v>
      </c>
      <c r="G340" s="15">
        <f t="shared" si="58"/>
        <v>200772.24998904244</v>
      </c>
      <c r="I340" s="165">
        <f t="shared" si="55"/>
        <v>550</v>
      </c>
      <c r="J340" s="53">
        <f t="shared" si="56"/>
        <v>253.08899995616986</v>
      </c>
      <c r="K340" s="53">
        <f t="shared" si="57"/>
        <v>803.0889999561698</v>
      </c>
    </row>
    <row r="341" spans="2:14" x14ac:dyDescent="0.35">
      <c r="B341" s="9" t="s">
        <v>576</v>
      </c>
      <c r="C341" s="21" t="s">
        <v>82</v>
      </c>
      <c r="D341" s="11" t="s">
        <v>81</v>
      </c>
      <c r="E341" s="164">
        <f t="shared" si="54"/>
        <v>200</v>
      </c>
      <c r="F341" s="14">
        <f t="shared" si="59"/>
        <v>1387.1537271970205</v>
      </c>
      <c r="G341" s="15">
        <f t="shared" si="58"/>
        <v>277430.7454394041</v>
      </c>
      <c r="I341" s="165">
        <f t="shared" si="55"/>
        <v>950</v>
      </c>
      <c r="J341" s="53">
        <f>((I341*0.5*$I$3)+(I341*0.5*$I$4))*$I$2</f>
        <v>437.1537271970206</v>
      </c>
      <c r="K341" s="53">
        <f t="shared" si="57"/>
        <v>1387.1537271970205</v>
      </c>
    </row>
    <row r="342" spans="2:14" ht="29" x14ac:dyDescent="0.35">
      <c r="B342" s="9" t="s">
        <v>577</v>
      </c>
      <c r="C342" s="35" t="s">
        <v>397</v>
      </c>
      <c r="D342" s="11" t="s">
        <v>26</v>
      </c>
      <c r="E342" s="164">
        <f t="shared" si="54"/>
        <v>1</v>
      </c>
      <c r="F342" s="14">
        <f t="shared" si="59"/>
        <v>19566.168362568504</v>
      </c>
      <c r="G342" s="15">
        <f t="shared" si="58"/>
        <v>19566.168362568504</v>
      </c>
      <c r="I342" s="165">
        <f t="shared" si="55"/>
        <v>13400</v>
      </c>
      <c r="J342" s="53">
        <f>((I342*0.5*$I$3)+(I342*0.5*$I$4))*$I$2</f>
        <v>6166.1683625685018</v>
      </c>
      <c r="K342" s="53">
        <f t="shared" si="57"/>
        <v>19566.168362568504</v>
      </c>
      <c r="N342" s="53"/>
    </row>
    <row r="343" spans="2:14" ht="29" x14ac:dyDescent="0.35">
      <c r="B343" s="9" t="s">
        <v>578</v>
      </c>
      <c r="C343" s="35" t="s">
        <v>398</v>
      </c>
      <c r="D343" s="11" t="s">
        <v>26</v>
      </c>
      <c r="E343" s="164">
        <f t="shared" si="54"/>
        <v>1</v>
      </c>
      <c r="F343" s="14">
        <f t="shared" si="59"/>
        <v>16353.812362743822</v>
      </c>
      <c r="G343" s="15">
        <f t="shared" si="58"/>
        <v>16353.812362743822</v>
      </c>
      <c r="I343" s="165">
        <f t="shared" si="55"/>
        <v>11200</v>
      </c>
      <c r="J343" s="53">
        <f>((I343*0.5*$I$3)+(I343*0.5*$I$4))*$I$2</f>
        <v>5153.8123627438226</v>
      </c>
      <c r="K343" s="53">
        <f t="shared" si="57"/>
        <v>16353.812362743822</v>
      </c>
    </row>
    <row r="344" spans="2:14" ht="29" x14ac:dyDescent="0.35">
      <c r="B344" s="9" t="s">
        <v>579</v>
      </c>
      <c r="C344" s="36" t="s">
        <v>399</v>
      </c>
      <c r="D344" s="11" t="s">
        <v>26</v>
      </c>
      <c r="E344" s="164">
        <f t="shared" si="54"/>
        <v>1</v>
      </c>
      <c r="F344" s="14">
        <f t="shared" si="59"/>
        <v>12411.375453868079</v>
      </c>
      <c r="G344" s="15">
        <f t="shared" si="58"/>
        <v>12411.375453868079</v>
      </c>
      <c r="I344" s="165">
        <f t="shared" si="55"/>
        <v>8500</v>
      </c>
      <c r="J344" s="53">
        <f>((I344*0.5*$I$3)+(I344*0.5*$I$4))*$I$2</f>
        <v>3911.3754538680791</v>
      </c>
      <c r="K344" s="53">
        <f t="shared" si="57"/>
        <v>12411.375453868079</v>
      </c>
    </row>
    <row r="345" spans="2:14" ht="72.5" x14ac:dyDescent="0.35">
      <c r="B345" s="9" t="s">
        <v>580</v>
      </c>
      <c r="C345" s="21" t="s">
        <v>400</v>
      </c>
      <c r="D345" s="11" t="s">
        <v>26</v>
      </c>
      <c r="E345" s="164">
        <f t="shared" si="54"/>
        <v>15</v>
      </c>
      <c r="F345" s="14">
        <f t="shared" si="59"/>
        <v>3650.4045452553173</v>
      </c>
      <c r="G345" s="15">
        <f t="shared" si="58"/>
        <v>54756.068178829759</v>
      </c>
      <c r="I345" s="165">
        <f t="shared" si="55"/>
        <v>2500</v>
      </c>
      <c r="J345" s="53">
        <f t="shared" ref="J345:J348" si="60">((I345*0.5*$I$3)+(I345*0.5*$I$4))*$I$2</f>
        <v>1150.4045452553173</v>
      </c>
      <c r="K345" s="53">
        <f t="shared" si="57"/>
        <v>3650.4045452553173</v>
      </c>
    </row>
    <row r="346" spans="2:14" ht="72.5" x14ac:dyDescent="0.35">
      <c r="B346" s="9" t="s">
        <v>581</v>
      </c>
      <c r="C346" s="21" t="s">
        <v>401</v>
      </c>
      <c r="D346" s="32" t="s">
        <v>26</v>
      </c>
      <c r="E346" s="164">
        <f t="shared" si="54"/>
        <v>15</v>
      </c>
      <c r="F346" s="14">
        <f t="shared" si="59"/>
        <v>4380.4854543063811</v>
      </c>
      <c r="G346" s="15">
        <f t="shared" si="58"/>
        <v>65707.281814595714</v>
      </c>
      <c r="I346" s="165">
        <f t="shared" si="55"/>
        <v>3000</v>
      </c>
      <c r="J346" s="53">
        <f t="shared" si="60"/>
        <v>1380.4854543063809</v>
      </c>
      <c r="K346" s="53">
        <f t="shared" si="57"/>
        <v>4380.4854543063811</v>
      </c>
    </row>
    <row r="347" spans="2:14" ht="72.5" x14ac:dyDescent="0.35">
      <c r="B347" s="9" t="s">
        <v>582</v>
      </c>
      <c r="C347" s="21" t="s">
        <v>402</v>
      </c>
      <c r="D347" s="32" t="s">
        <v>26</v>
      </c>
      <c r="E347" s="164">
        <f t="shared" si="54"/>
        <v>8</v>
      </c>
      <c r="F347" s="14">
        <f t="shared" si="59"/>
        <v>6570.7281814595717</v>
      </c>
      <c r="G347" s="15">
        <f t="shared" si="58"/>
        <v>52565.825451676574</v>
      </c>
      <c r="H347" t="s">
        <v>175</v>
      </c>
      <c r="I347" s="165">
        <f t="shared" si="55"/>
        <v>4500</v>
      </c>
      <c r="J347" s="53">
        <f t="shared" si="60"/>
        <v>2070.7281814595717</v>
      </c>
      <c r="K347" s="53">
        <f t="shared" si="57"/>
        <v>6570.7281814595717</v>
      </c>
    </row>
    <row r="348" spans="2:14" ht="101.5" x14ac:dyDescent="0.35">
      <c r="B348" s="9" t="s">
        <v>583</v>
      </c>
      <c r="C348" s="21" t="s">
        <v>403</v>
      </c>
      <c r="D348" s="32" t="s">
        <v>26</v>
      </c>
      <c r="E348" s="164">
        <f t="shared" si="54"/>
        <v>5</v>
      </c>
      <c r="F348" s="14">
        <f>K348</f>
        <v>12411.375453868079</v>
      </c>
      <c r="G348" s="15">
        <f t="shared" si="58"/>
        <v>62056.877269340395</v>
      </c>
      <c r="I348" s="165">
        <f t="shared" si="55"/>
        <v>8500</v>
      </c>
      <c r="J348" s="53">
        <f t="shared" si="60"/>
        <v>3911.3754538680791</v>
      </c>
      <c r="K348" s="53">
        <f t="shared" si="57"/>
        <v>12411.375453868079</v>
      </c>
    </row>
  </sheetData>
  <mergeCells count="23">
    <mergeCell ref="B236:G236"/>
    <mergeCell ref="C237:G237"/>
    <mergeCell ref="I193:K193"/>
    <mergeCell ref="C187:F187"/>
    <mergeCell ref="B8:G8"/>
    <mergeCell ref="B12:G12"/>
    <mergeCell ref="B23:G23"/>
    <mergeCell ref="I22:K22"/>
    <mergeCell ref="B65:G65"/>
    <mergeCell ref="C182:F182"/>
    <mergeCell ref="C183:F183"/>
    <mergeCell ref="C184:F184"/>
    <mergeCell ref="B194:G194"/>
    <mergeCell ref="C185:F185"/>
    <mergeCell ref="C186:F186"/>
    <mergeCell ref="C2:G2"/>
    <mergeCell ref="C66:G66"/>
    <mergeCell ref="C9:F9"/>
    <mergeCell ref="C10:F10"/>
    <mergeCell ref="C11:F11"/>
    <mergeCell ref="C13:F13"/>
    <mergeCell ref="C15:F15"/>
    <mergeCell ref="C14:F14"/>
  </mergeCells>
  <pageMargins left="0.7" right="0.7" top="0.75" bottom="0.75" header="0.3" footer="0.3"/>
  <pageSetup paperSize="9" scale="26" fitToHeight="0" orientation="portrait" r:id="rId1"/>
  <rowBreaks count="1" manualBreakCount="1">
    <brk id="179"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23"/>
  <sheetViews>
    <sheetView showGridLines="0" view="pageBreakPreview" zoomScaleNormal="100" zoomScaleSheetLayoutView="100" workbookViewId="0">
      <selection activeCell="B79" sqref="B79:G79"/>
    </sheetView>
  </sheetViews>
  <sheetFormatPr baseColWidth="10" defaultRowHeight="14.5" x14ac:dyDescent="0.35"/>
  <cols>
    <col min="1" max="1" width="4.7265625" bestFit="1" customWidth="1"/>
    <col min="2" max="2" width="10" bestFit="1" customWidth="1"/>
    <col min="3" max="3" width="45.26953125" customWidth="1"/>
    <col min="4" max="4" width="13.81640625" bestFit="1" customWidth="1"/>
    <col min="5" max="5" width="12.7265625" bestFit="1" customWidth="1"/>
    <col min="6" max="6" width="15.26953125" bestFit="1" customWidth="1"/>
    <col min="7" max="7" width="16.1796875" bestFit="1" customWidth="1"/>
  </cols>
  <sheetData>
    <row r="2" spans="1:7" ht="18.5" x14ac:dyDescent="0.45">
      <c r="C2" s="80" t="s">
        <v>288</v>
      </c>
    </row>
    <row r="3" spans="1:7" ht="18.5" x14ac:dyDescent="0.45">
      <c r="C3" s="80"/>
    </row>
    <row r="4" spans="1:7" ht="33.75" customHeight="1" x14ac:dyDescent="0.35">
      <c r="A4" s="83" t="s">
        <v>286</v>
      </c>
      <c r="B4" s="241" t="s">
        <v>289</v>
      </c>
      <c r="C4" s="241"/>
      <c r="D4" s="241"/>
      <c r="E4" s="241"/>
      <c r="F4" s="241"/>
      <c r="G4" s="241"/>
    </row>
    <row r="6" spans="1:7" x14ac:dyDescent="0.35">
      <c r="B6" s="72"/>
      <c r="C6" s="73" t="s">
        <v>290</v>
      </c>
      <c r="D6" s="73" t="s">
        <v>245</v>
      </c>
    </row>
    <row r="7" spans="1:7" x14ac:dyDescent="0.35">
      <c r="C7" s="43" t="s">
        <v>246</v>
      </c>
      <c r="D7" s="74">
        <v>0.2109704641350211</v>
      </c>
    </row>
    <row r="8" spans="1:7" x14ac:dyDescent="0.35">
      <c r="C8" s="43" t="s">
        <v>247</v>
      </c>
      <c r="D8" s="74">
        <v>7.0323488045007029E-2</v>
      </c>
    </row>
    <row r="9" spans="1:7" x14ac:dyDescent="0.35">
      <c r="C9" s="43" t="s">
        <v>248</v>
      </c>
      <c r="D9" s="74">
        <v>5.6258790436005623E-2</v>
      </c>
    </row>
    <row r="10" spans="1:7" x14ac:dyDescent="0.35">
      <c r="C10" s="43" t="s">
        <v>249</v>
      </c>
      <c r="D10" s="74">
        <v>1.4064697609001406E-2</v>
      </c>
    </row>
    <row r="11" spans="1:7" x14ac:dyDescent="0.35">
      <c r="C11" s="43" t="s">
        <v>250</v>
      </c>
      <c r="D11" s="74">
        <v>1.68776371308017E-2</v>
      </c>
    </row>
    <row r="12" spans="1:7" x14ac:dyDescent="0.35">
      <c r="C12" s="43" t="s">
        <v>251</v>
      </c>
      <c r="D12" s="74">
        <v>1.4064697609001406E-2</v>
      </c>
    </row>
    <row r="13" spans="1:7" x14ac:dyDescent="0.35">
      <c r="C13" s="43" t="s">
        <v>252</v>
      </c>
      <c r="D13" s="74">
        <v>7.0323488045007029E-3</v>
      </c>
    </row>
    <row r="14" spans="1:7" x14ac:dyDescent="0.35">
      <c r="C14" s="43" t="s">
        <v>253</v>
      </c>
      <c r="D14" s="74">
        <v>1.687763713080169E-2</v>
      </c>
    </row>
    <row r="15" spans="1:7" x14ac:dyDescent="0.35">
      <c r="D15" s="71"/>
    </row>
    <row r="16" spans="1:7" x14ac:dyDescent="0.35">
      <c r="C16" s="73" t="s">
        <v>254</v>
      </c>
      <c r="D16" s="122">
        <v>0.4064697609001407</v>
      </c>
    </row>
    <row r="17" spans="1:8" x14ac:dyDescent="0.35">
      <c r="C17" s="66"/>
      <c r="D17" s="88"/>
    </row>
    <row r="18" spans="1:8" ht="81" customHeight="1" x14ac:dyDescent="0.35">
      <c r="A18" s="83" t="s">
        <v>287</v>
      </c>
      <c r="B18" s="241" t="s">
        <v>625</v>
      </c>
      <c r="C18" s="241"/>
      <c r="D18" s="241"/>
      <c r="E18" s="241"/>
      <c r="F18" s="241"/>
      <c r="G18" s="241"/>
    </row>
    <row r="19" spans="1:8" x14ac:dyDescent="0.35">
      <c r="D19" s="71"/>
    </row>
    <row r="20" spans="1:8" ht="31.5" customHeight="1" x14ac:dyDescent="0.35">
      <c r="A20" s="72"/>
      <c r="B20" s="150" t="str">
        <f>Costos!B24</f>
        <v>A</v>
      </c>
      <c r="C20" s="169" t="str">
        <f>Costos!C24</f>
        <v>Mantenimiento Predictivo, Preventivo, correctivo y limpieza Tecnica</v>
      </c>
      <c r="D20" s="150" t="s">
        <v>64</v>
      </c>
      <c r="E20" s="150" t="s">
        <v>255</v>
      </c>
      <c r="F20" s="150" t="s">
        <v>282</v>
      </c>
      <c r="G20" s="150" t="s">
        <v>283</v>
      </c>
      <c r="H20" s="71"/>
    </row>
    <row r="21" spans="1:8" x14ac:dyDescent="0.35">
      <c r="A21" s="244" t="s">
        <v>280</v>
      </c>
      <c r="B21" s="243" t="s">
        <v>284</v>
      </c>
      <c r="C21" s="43" t="str">
        <f>Gastos!C4</f>
        <v>RRHH Directo e indirecto</v>
      </c>
      <c r="D21" s="70">
        <f>F21/(1+$D$16)</f>
        <v>13992480</v>
      </c>
      <c r="E21" s="70">
        <f>D21*$D$16</f>
        <v>5687520.0000000009</v>
      </c>
      <c r="F21" s="70">
        <f>Gastos!H4</f>
        <v>19680000</v>
      </c>
      <c r="G21" s="242">
        <f>SUM(F21:F25)</f>
        <v>25812517</v>
      </c>
      <c r="H21" s="71"/>
    </row>
    <row r="22" spans="1:8" x14ac:dyDescent="0.35">
      <c r="A22" s="245"/>
      <c r="B22" s="243"/>
      <c r="C22" s="43" t="str">
        <f>Gastos!C18</f>
        <v>Sub contratos</v>
      </c>
      <c r="D22" s="70">
        <f t="shared" ref="D22:D25" si="0">F22/(1+$D$16)</f>
        <v>867135.6</v>
      </c>
      <c r="E22" s="70">
        <f t="shared" ref="E22:E26" si="1">D22*$D$16</f>
        <v>352464.4</v>
      </c>
      <c r="F22" s="70">
        <f>Gastos!H18</f>
        <v>1219600</v>
      </c>
      <c r="G22" s="243"/>
      <c r="H22" s="71"/>
    </row>
    <row r="23" spans="1:8" x14ac:dyDescent="0.35">
      <c r="A23" s="245"/>
      <c r="B23" s="243"/>
      <c r="C23" s="43" t="str">
        <f>Gastos!C33</f>
        <v>Insumos y consumibles</v>
      </c>
      <c r="D23" s="70">
        <f t="shared" si="0"/>
        <v>2072707.2</v>
      </c>
      <c r="E23" s="70">
        <f t="shared" si="1"/>
        <v>842492.8</v>
      </c>
      <c r="F23" s="70">
        <f>Gastos!H33</f>
        <v>2915200</v>
      </c>
      <c r="G23" s="243"/>
      <c r="H23" s="71"/>
    </row>
    <row r="24" spans="1:8" x14ac:dyDescent="0.35">
      <c r="A24" s="245"/>
      <c r="B24" s="243"/>
      <c r="C24" s="43" t="str">
        <f>Gastos!C48</f>
        <v>Material mantenimiento</v>
      </c>
      <c r="D24" s="70">
        <f t="shared" si="0"/>
        <v>656964</v>
      </c>
      <c r="E24" s="70">
        <f t="shared" si="1"/>
        <v>267036.00000000006</v>
      </c>
      <c r="F24" s="70">
        <f>Gastos!H48</f>
        <v>924000</v>
      </c>
      <c r="G24" s="243"/>
      <c r="H24" s="71"/>
    </row>
    <row r="25" spans="1:8" x14ac:dyDescent="0.35">
      <c r="A25" s="245"/>
      <c r="B25" s="243"/>
      <c r="C25" s="43" t="str">
        <f>Gastos!C62</f>
        <v>Equipamiento y consumibles limpieza</v>
      </c>
      <c r="D25" s="70">
        <f t="shared" si="0"/>
        <v>763412.78700000001</v>
      </c>
      <c r="E25" s="70">
        <f t="shared" si="1"/>
        <v>310304.21300000005</v>
      </c>
      <c r="F25" s="70">
        <f>Gastos!H62</f>
        <v>1073717</v>
      </c>
      <c r="G25" s="243"/>
      <c r="H25" s="71"/>
    </row>
    <row r="26" spans="1:8" x14ac:dyDescent="0.35">
      <c r="A26" s="246"/>
      <c r="B26" s="82" t="str">
        <f>Costos!B28</f>
        <v>1.03</v>
      </c>
      <c r="C26" s="43" t="str">
        <f>Costos!C28</f>
        <v>Oferta por servicio de reposicion inmediata.</v>
      </c>
      <c r="D26" s="70">
        <f>F26/(1+$D$16)</f>
        <v>1894639.6389599997</v>
      </c>
      <c r="E26" s="70">
        <f t="shared" si="1"/>
        <v>770113.72103999997</v>
      </c>
      <c r="F26" s="70">
        <f>Costos!G11</f>
        <v>2664753.3599999994</v>
      </c>
      <c r="G26" s="85">
        <f>F26</f>
        <v>2664753.3599999994</v>
      </c>
      <c r="H26" s="71"/>
    </row>
    <row r="27" spans="1:8" x14ac:dyDescent="0.35">
      <c r="C27" s="75"/>
      <c r="D27" s="76"/>
      <c r="E27" s="76"/>
      <c r="F27" s="76"/>
      <c r="H27" s="71"/>
    </row>
    <row r="28" spans="1:8" ht="15.5" x14ac:dyDescent="0.35">
      <c r="C28" s="77" t="s">
        <v>256</v>
      </c>
      <c r="D28" s="78">
        <f>SUM(D21:D26)</f>
        <v>20247339.225960001</v>
      </c>
      <c r="E28" s="78">
        <f>SUM(E21:E26)</f>
        <v>8229931.1340400018</v>
      </c>
      <c r="F28" s="78"/>
      <c r="G28" s="78">
        <f>SUM(G21:G26)</f>
        <v>28477270.359999999</v>
      </c>
      <c r="H28" s="71"/>
    </row>
    <row r="29" spans="1:8" x14ac:dyDescent="0.35">
      <c r="C29" s="75"/>
      <c r="D29" s="76"/>
      <c r="E29" s="76"/>
      <c r="F29" s="76"/>
      <c r="H29" s="71"/>
    </row>
    <row r="30" spans="1:8" x14ac:dyDescent="0.35">
      <c r="H30" s="71"/>
    </row>
    <row r="49" spans="1:7" ht="36.75" customHeight="1" x14ac:dyDescent="0.35">
      <c r="A49" s="83" t="s">
        <v>292</v>
      </c>
      <c r="B49" s="241" t="s">
        <v>626</v>
      </c>
      <c r="C49" s="241"/>
      <c r="D49" s="241"/>
      <c r="E49" s="241"/>
      <c r="F49" s="241"/>
      <c r="G49" s="241"/>
    </row>
    <row r="50" spans="1:7" ht="55.5" customHeight="1" x14ac:dyDescent="0.35">
      <c r="A50" s="83"/>
      <c r="B50" s="241" t="s">
        <v>627</v>
      </c>
      <c r="C50" s="241"/>
      <c r="D50" s="241"/>
      <c r="E50" s="241"/>
      <c r="F50" s="241"/>
      <c r="G50" s="241"/>
    </row>
    <row r="51" spans="1:7" ht="62.25" customHeight="1" x14ac:dyDescent="0.35">
      <c r="A51" s="83"/>
      <c r="B51" s="241" t="s">
        <v>585</v>
      </c>
      <c r="C51" s="241"/>
      <c r="D51" s="241"/>
      <c r="E51" s="241"/>
      <c r="F51" s="241"/>
      <c r="G51" s="241"/>
    </row>
    <row r="52" spans="1:7" ht="48.75" customHeight="1" x14ac:dyDescent="0.35">
      <c r="A52" s="83"/>
      <c r="B52" s="241" t="s">
        <v>628</v>
      </c>
      <c r="C52" s="241"/>
      <c r="D52" s="241"/>
      <c r="E52" s="241"/>
      <c r="F52" s="241"/>
      <c r="G52" s="241"/>
    </row>
    <row r="54" spans="1:7" ht="43.5" x14ac:dyDescent="0.35">
      <c r="B54" s="150" t="str">
        <f>Costos!B66</f>
        <v>B</v>
      </c>
      <c r="C54" s="169" t="str">
        <f>Costos!C66</f>
        <v>Tarea sobre demanda de Suministro de material y/o Mano de Obra, de trabajos relacionados con el plan de mantenimiento y limpieza tecnica Integral</v>
      </c>
      <c r="D54" s="150" t="s">
        <v>64</v>
      </c>
      <c r="E54" s="150" t="s">
        <v>255</v>
      </c>
      <c r="F54" s="150" t="s">
        <v>282</v>
      </c>
      <c r="G54" s="150" t="s">
        <v>283</v>
      </c>
    </row>
    <row r="55" spans="1:7" ht="43.5" x14ac:dyDescent="0.35">
      <c r="A55" s="244" t="s">
        <v>281</v>
      </c>
      <c r="B55" s="82">
        <f>Costos!B68</f>
        <v>2</v>
      </c>
      <c r="C55" s="86" t="str">
        <f>Costos!C68</f>
        <v>Servicio de implementacion de elementos de reposicion inmediata (según listado desglozado del item1.03)</v>
      </c>
      <c r="D55" s="70">
        <f>F55/(1+$D$16)</f>
        <v>568391.89168800006</v>
      </c>
      <c r="E55" s="70">
        <f>D55*$D$16</f>
        <v>231034.11631200006</v>
      </c>
      <c r="F55" s="70">
        <f>Costos!G13</f>
        <v>799426.00800000003</v>
      </c>
      <c r="G55" s="247">
        <f>SUM(F55:F57)</f>
        <v>6736879.6079999991</v>
      </c>
    </row>
    <row r="56" spans="1:7" ht="29" x14ac:dyDescent="0.35">
      <c r="A56" s="245"/>
      <c r="B56" s="82">
        <f>Costos!B105</f>
        <v>3</v>
      </c>
      <c r="C56" s="86" t="str">
        <f>Costos!C105</f>
        <v>Adicional de activo fijo a incorporar al contrato de mantenimiento integral</v>
      </c>
      <c r="D56" s="70">
        <f t="shared" ref="D56:D59" si="2">F56/(1+$D$16)</f>
        <v>981407.16449999996</v>
      </c>
      <c r="E56" s="70">
        <f t="shared" ref="E56:E59" si="3">D56*$D$16</f>
        <v>398912.33550000004</v>
      </c>
      <c r="F56" s="70">
        <f>Costos!G14</f>
        <v>1380319.5</v>
      </c>
      <c r="G56" s="248"/>
    </row>
    <row r="57" spans="1:7" x14ac:dyDescent="0.35">
      <c r="A57" s="246"/>
      <c r="B57" s="82">
        <f>Costos!B146</f>
        <v>4</v>
      </c>
      <c r="C57" s="86" t="str">
        <f>Costos!C146</f>
        <v>Tareas sobre demanda - Mantenimiento Integral</v>
      </c>
      <c r="D57" s="70">
        <f t="shared" si="2"/>
        <v>3240122.3450999996</v>
      </c>
      <c r="E57" s="70">
        <f t="shared" si="3"/>
        <v>1317011.7549000001</v>
      </c>
      <c r="F57" s="70">
        <f>Costos!G15</f>
        <v>4557134.0999999996</v>
      </c>
      <c r="G57" s="249"/>
    </row>
    <row r="58" spans="1:7" x14ac:dyDescent="0.35">
      <c r="C58" s="75"/>
      <c r="D58" s="75"/>
      <c r="E58" s="75"/>
      <c r="F58" s="75"/>
    </row>
    <row r="59" spans="1:7" ht="15.5" x14ac:dyDescent="0.35">
      <c r="C59" s="77" t="s">
        <v>256</v>
      </c>
      <c r="D59" s="70">
        <f t="shared" si="2"/>
        <v>0</v>
      </c>
      <c r="E59" s="70">
        <f t="shared" si="3"/>
        <v>0</v>
      </c>
      <c r="F59" s="78"/>
      <c r="G59" s="78">
        <f>SUM(G55:G57)</f>
        <v>6736879.6079999991</v>
      </c>
    </row>
    <row r="77" spans="1:7" ht="18.5" x14ac:dyDescent="0.45">
      <c r="C77" s="80" t="s">
        <v>291</v>
      </c>
    </row>
    <row r="79" spans="1:7" ht="60.75" customHeight="1" x14ac:dyDescent="0.35">
      <c r="A79" s="83" t="s">
        <v>293</v>
      </c>
      <c r="B79" s="241" t="s">
        <v>629</v>
      </c>
      <c r="C79" s="241"/>
      <c r="D79" s="241"/>
      <c r="E79" s="241"/>
      <c r="F79" s="241"/>
      <c r="G79" s="241"/>
    </row>
    <row r="80" spans="1:7" ht="34.5" customHeight="1" x14ac:dyDescent="0.35">
      <c r="A80" s="83"/>
      <c r="B80" s="87"/>
      <c r="C80" s="87"/>
      <c r="D80" s="87"/>
      <c r="E80" s="87"/>
      <c r="F80" s="87"/>
      <c r="G80" s="87"/>
    </row>
    <row r="81" spans="1:7" ht="45" customHeight="1" x14ac:dyDescent="0.35">
      <c r="B81" s="250" t="s">
        <v>373</v>
      </c>
      <c r="C81" s="250"/>
      <c r="D81" s="250"/>
      <c r="E81" s="250"/>
      <c r="F81" s="48" t="s">
        <v>374</v>
      </c>
      <c r="G81" s="48" t="s">
        <v>375</v>
      </c>
    </row>
    <row r="82" spans="1:7" x14ac:dyDescent="0.35">
      <c r="B82" s="251" t="s">
        <v>376</v>
      </c>
      <c r="C82" s="252"/>
      <c r="D82" s="252"/>
      <c r="E82" s="253"/>
      <c r="F82" s="113">
        <f>'ICC (2)'!AB10/'ICC (2)'!O10</f>
        <v>1.3577384584095993</v>
      </c>
      <c r="G82" s="113">
        <f>F82-(F82*0.12)</f>
        <v>1.1948098434004475</v>
      </c>
    </row>
    <row r="83" spans="1:7" x14ac:dyDescent="0.35">
      <c r="B83" s="251" t="s">
        <v>377</v>
      </c>
      <c r="C83" s="252"/>
      <c r="D83" s="252"/>
      <c r="E83" s="253"/>
      <c r="F83" s="113">
        <f>AVERAGE('ICC (2)'!AB12:AB20)/AVERAGE('ICC (2)'!O12:O20)</f>
        <v>1.1930476729769139</v>
      </c>
      <c r="G83" s="113">
        <f>F83-(F83*0.12)</f>
        <v>1.0498819522196843</v>
      </c>
    </row>
    <row r="85" spans="1:7" ht="45.75" customHeight="1" x14ac:dyDescent="0.35">
      <c r="A85" s="83" t="s">
        <v>363</v>
      </c>
      <c r="B85" s="241" t="s">
        <v>378</v>
      </c>
      <c r="C85" s="241"/>
      <c r="D85" s="241"/>
      <c r="E85" s="241"/>
      <c r="F85" s="241"/>
      <c r="G85" s="241"/>
    </row>
    <row r="87" spans="1:7" ht="29" x14ac:dyDescent="0.35">
      <c r="A87" s="72"/>
      <c r="B87" s="84" t="str">
        <f t="shared" ref="B87:G87" si="4">B20</f>
        <v>A</v>
      </c>
      <c r="C87" s="86" t="str">
        <f t="shared" si="4"/>
        <v>Mantenimiento Predictivo, Preventivo, correctivo y limpieza Tecnica</v>
      </c>
      <c r="D87" s="81" t="str">
        <f t="shared" si="4"/>
        <v>Costo</v>
      </c>
      <c r="E87" s="81" t="str">
        <f t="shared" si="4"/>
        <v>Mark Up</v>
      </c>
      <c r="F87" s="81" t="str">
        <f t="shared" si="4"/>
        <v>Total parcial</v>
      </c>
      <c r="G87" s="81" t="str">
        <f t="shared" si="4"/>
        <v>Total RC</v>
      </c>
    </row>
    <row r="88" spans="1:7" x14ac:dyDescent="0.35">
      <c r="A88" s="244" t="s">
        <v>285</v>
      </c>
      <c r="B88" s="243" t="str">
        <f>B21</f>
        <v>1,01 y 1,02</v>
      </c>
      <c r="C88" s="43" t="str">
        <f>C21</f>
        <v>RRHH Directo e indirecto</v>
      </c>
      <c r="D88" s="70">
        <f>D21*$G$82</f>
        <v>16718352.837583894</v>
      </c>
      <c r="E88" s="70">
        <f>D88*$D$16</f>
        <v>6795504.8805369139</v>
      </c>
      <c r="F88" s="70">
        <f>D88+E88</f>
        <v>23513857.718120806</v>
      </c>
      <c r="G88" s="242">
        <f>SUM(F88:F92)</f>
        <v>30040653.666143239</v>
      </c>
    </row>
    <row r="89" spans="1:7" x14ac:dyDescent="0.35">
      <c r="A89" s="245"/>
      <c r="B89" s="243"/>
      <c r="C89" s="43" t="str">
        <f>C22</f>
        <v>Sub contratos</v>
      </c>
      <c r="D89" s="70">
        <f>(D22*0.5*$G$83)+(D22*0.5*$G$82)</f>
        <v>973226.08350507019</v>
      </c>
      <c r="E89" s="70">
        <f t="shared" ref="E89:E92" si="5">D89*$D$16</f>
        <v>395586.97346408624</v>
      </c>
      <c r="F89" s="70">
        <f t="shared" ref="F89:F92" si="6">D89+E89</f>
        <v>1368813.0569691565</v>
      </c>
      <c r="G89" s="243"/>
    </row>
    <row r="90" spans="1:7" x14ac:dyDescent="0.35">
      <c r="A90" s="245"/>
      <c r="B90" s="243"/>
      <c r="C90" s="43" t="str">
        <f t="shared" ref="C90" si="7">C23</f>
        <v>Insumos y consumibles</v>
      </c>
      <c r="D90" s="70">
        <f>D23*$G$83</f>
        <v>2176097.8815157954</v>
      </c>
      <c r="E90" s="70">
        <f t="shared" si="5"/>
        <v>884517.98559502803</v>
      </c>
      <c r="F90" s="70">
        <f t="shared" si="6"/>
        <v>3060615.8671108233</v>
      </c>
      <c r="G90" s="243"/>
    </row>
    <row r="91" spans="1:7" x14ac:dyDescent="0.35">
      <c r="A91" s="245"/>
      <c r="B91" s="243"/>
      <c r="C91" s="43" t="str">
        <f t="shared" ref="C91" si="8">C24</f>
        <v>Material mantenimiento</v>
      </c>
      <c r="D91" s="70">
        <f>D24*$G$83</f>
        <v>689734.6468580527</v>
      </c>
      <c r="E91" s="70">
        <f t="shared" si="5"/>
        <v>280356.27699293569</v>
      </c>
      <c r="F91" s="70">
        <f t="shared" si="6"/>
        <v>970090.92385098839</v>
      </c>
      <c r="G91" s="243"/>
    </row>
    <row r="92" spans="1:7" x14ac:dyDescent="0.35">
      <c r="A92" s="245"/>
      <c r="B92" s="243"/>
      <c r="C92" s="43" t="str">
        <f t="shared" ref="C92" si="9">C25</f>
        <v>Equipamiento y consumibles limpieza</v>
      </c>
      <c r="D92" s="70">
        <f>D25*G83</f>
        <v>801493.30716503004</v>
      </c>
      <c r="E92" s="70">
        <f t="shared" si="5"/>
        <v>325782.7929264328</v>
      </c>
      <c r="F92" s="70">
        <f t="shared" si="6"/>
        <v>1127276.100091463</v>
      </c>
      <c r="G92" s="243"/>
    </row>
    <row r="93" spans="1:7" x14ac:dyDescent="0.35">
      <c r="A93" s="246"/>
      <c r="B93" s="84" t="str">
        <f>B26</f>
        <v>1.03</v>
      </c>
      <c r="C93" s="43" t="str">
        <f>C26</f>
        <v>Oferta por servicio de reposicion inmediata.</v>
      </c>
      <c r="D93" s="70">
        <f>Costos!G199/(1+$D$16)</f>
        <v>1433936.2606139595</v>
      </c>
      <c r="E93" s="70">
        <f>D93*$D$16</f>
        <v>582851.72899779794</v>
      </c>
      <c r="F93" s="70">
        <f>D93+E93</f>
        <v>2016787.9896117575</v>
      </c>
      <c r="G93" s="85">
        <f>F93</f>
        <v>2016787.9896117575</v>
      </c>
    </row>
    <row r="94" spans="1:7" x14ac:dyDescent="0.35">
      <c r="C94" s="75"/>
      <c r="D94" s="76"/>
      <c r="E94" s="76"/>
      <c r="F94" s="76"/>
    </row>
    <row r="95" spans="1:7" ht="15.5" x14ac:dyDescent="0.35">
      <c r="C95" s="77" t="s">
        <v>256</v>
      </c>
      <c r="D95" s="78">
        <f>SUM(D88:D93)</f>
        <v>22792841.017241798</v>
      </c>
      <c r="E95" s="78">
        <f>SUM(E88:E93)</f>
        <v>9264600.6385131963</v>
      </c>
      <c r="F95" s="78"/>
      <c r="G95" s="78">
        <f>SUM(G88:G93)</f>
        <v>32057441.655754995</v>
      </c>
    </row>
    <row r="116" spans="1:7" ht="30" customHeight="1" x14ac:dyDescent="0.35">
      <c r="A116" s="83"/>
      <c r="B116" s="241" t="s">
        <v>630</v>
      </c>
      <c r="C116" s="241"/>
      <c r="D116" s="241"/>
      <c r="E116" s="241"/>
      <c r="F116" s="241"/>
      <c r="G116" s="241"/>
    </row>
    <row r="118" spans="1:7" ht="65.25" customHeight="1" x14ac:dyDescent="0.35">
      <c r="B118" s="182" t="str">
        <f>B54</f>
        <v>B</v>
      </c>
      <c r="C118" s="183" t="str">
        <f>C54</f>
        <v>Tarea sobre demanda de Suministro de material y/o Mano de Obra, de trabajos relacionados con el plan de mantenimiento y limpieza tecnica Integral</v>
      </c>
      <c r="D118" s="81" t="s">
        <v>64</v>
      </c>
      <c r="E118" s="81" t="s">
        <v>255</v>
      </c>
      <c r="F118" s="81" t="s">
        <v>282</v>
      </c>
      <c r="G118" s="81" t="s">
        <v>283</v>
      </c>
    </row>
    <row r="119" spans="1:7" ht="43.5" x14ac:dyDescent="0.35">
      <c r="A119" s="244" t="s">
        <v>364</v>
      </c>
      <c r="B119" s="182">
        <f>B55</f>
        <v>2</v>
      </c>
      <c r="C119" s="169" t="str">
        <f>C55</f>
        <v>Servicio de implementacion de elementos de reposicion inmediata (según listado desglozado del item1.03)</v>
      </c>
      <c r="D119" s="70">
        <f>Costos!G185/(1+$D$16)</f>
        <v>1051850.8741981727</v>
      </c>
      <c r="E119" s="70">
        <f>D119*$D$16</f>
        <v>427545.57333793526</v>
      </c>
      <c r="F119" s="70">
        <f>D119+E119</f>
        <v>1479396.4475361081</v>
      </c>
      <c r="G119" s="247">
        <f>SUM(F119:F121)</f>
        <v>7628079.4570914395</v>
      </c>
    </row>
    <row r="120" spans="1:7" ht="29" x14ac:dyDescent="0.35">
      <c r="A120" s="245"/>
      <c r="B120" s="182">
        <f t="shared" ref="B120:C121" si="10">B56</f>
        <v>3</v>
      </c>
      <c r="C120" s="169" t="str">
        <f t="shared" si="10"/>
        <v>Adicional de activo fijo a incorporar al contrato de mantenimiento integral</v>
      </c>
      <c r="D120" s="70">
        <f>Costos!G186/(1+$D$16)</f>
        <v>1016321.4678118959</v>
      </c>
      <c r="E120" s="70">
        <f>D120*$D$16</f>
        <v>413103.94401918136</v>
      </c>
      <c r="F120" s="70">
        <f>D120+E120</f>
        <v>1429425.4118310772</v>
      </c>
      <c r="G120" s="248"/>
    </row>
    <row r="121" spans="1:7" x14ac:dyDescent="0.35">
      <c r="A121" s="246"/>
      <c r="B121" s="182">
        <f t="shared" si="10"/>
        <v>4</v>
      </c>
      <c r="C121" s="169" t="str">
        <f t="shared" si="10"/>
        <v>Tareas sobre demanda - Mantenimiento Integral</v>
      </c>
      <c r="D121" s="70">
        <f>Costos!G187/(1+$D$16)</f>
        <v>3355392.1519819447</v>
      </c>
      <c r="E121" s="70">
        <f>D121*$D$16</f>
        <v>1363865.4457423096</v>
      </c>
      <c r="F121" s="70">
        <f>D121+E121</f>
        <v>4719257.5977242542</v>
      </c>
      <c r="G121" s="249"/>
    </row>
    <row r="122" spans="1:7" x14ac:dyDescent="0.35">
      <c r="C122" s="75"/>
      <c r="D122" s="76"/>
      <c r="E122" s="76"/>
      <c r="F122" s="76"/>
    </row>
    <row r="123" spans="1:7" ht="15.5" x14ac:dyDescent="0.35">
      <c r="C123" s="77" t="s">
        <v>256</v>
      </c>
      <c r="D123" s="78">
        <f>SUM(D119:D121)</f>
        <v>5423564.4939920139</v>
      </c>
      <c r="E123" s="78">
        <f>SUM(E119:E121)</f>
        <v>2204514.9630994261</v>
      </c>
      <c r="F123" s="78"/>
      <c r="G123" s="78">
        <f>SUM(G119:G121)</f>
        <v>7628079.4570914395</v>
      </c>
    </row>
  </sheetData>
  <mergeCells count="22">
    <mergeCell ref="B4:G4"/>
    <mergeCell ref="B18:G18"/>
    <mergeCell ref="B49:G49"/>
    <mergeCell ref="B50:G50"/>
    <mergeCell ref="B51:G51"/>
    <mergeCell ref="A55:A57"/>
    <mergeCell ref="A21:A26"/>
    <mergeCell ref="B81:E81"/>
    <mergeCell ref="B82:E82"/>
    <mergeCell ref="B83:E83"/>
    <mergeCell ref="B79:G79"/>
    <mergeCell ref="B52:G52"/>
    <mergeCell ref="B21:B25"/>
    <mergeCell ref="G21:G25"/>
    <mergeCell ref="G55:G57"/>
    <mergeCell ref="B85:G85"/>
    <mergeCell ref="G88:G92"/>
    <mergeCell ref="B88:B92"/>
    <mergeCell ref="B116:G116"/>
    <mergeCell ref="A119:A121"/>
    <mergeCell ref="G119:G121"/>
    <mergeCell ref="A88:A93"/>
  </mergeCells>
  <pageMargins left="0.7" right="0.7" top="0.75" bottom="0.75" header="0.3" footer="0.3"/>
  <pageSetup paperSize="9" scale="63" orientation="portrait" r:id="rId1"/>
  <rowBreaks count="2" manualBreakCount="2">
    <brk id="48" max="16383" man="1"/>
    <brk id="76"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176"/>
  <sheetViews>
    <sheetView view="pageLayout" zoomScaleNormal="100" workbookViewId="0">
      <selection activeCell="H12" sqref="H12"/>
    </sheetView>
  </sheetViews>
  <sheetFormatPr baseColWidth="10" defaultRowHeight="14.5" x14ac:dyDescent="0.35"/>
  <cols>
    <col min="2" max="2" width="5.1796875" bestFit="1" customWidth="1"/>
    <col min="3" max="3" width="55.453125" customWidth="1"/>
    <col min="4" max="4" width="7.26953125" bestFit="1" customWidth="1"/>
    <col min="5" max="5" width="10" bestFit="1" customWidth="1"/>
    <col min="6" max="6" width="9" bestFit="1" customWidth="1"/>
    <col min="7" max="7" width="11.54296875" bestFit="1" customWidth="1"/>
    <col min="8" max="8" width="17.453125" bestFit="1" customWidth="1"/>
  </cols>
  <sheetData>
    <row r="2" spans="2:8" ht="18.5" x14ac:dyDescent="0.45">
      <c r="C2" s="31" t="s">
        <v>77</v>
      </c>
      <c r="H2" s="31">
        <f>SUM(H4:H274)</f>
        <v>25812517</v>
      </c>
    </row>
    <row r="4" spans="2:8" x14ac:dyDescent="0.35">
      <c r="B4" s="26"/>
      <c r="C4" s="26" t="s">
        <v>258</v>
      </c>
      <c r="H4" s="30">
        <f>SUM(G6:G14)</f>
        <v>19680000</v>
      </c>
    </row>
    <row r="5" spans="2:8" ht="28" x14ac:dyDescent="0.35">
      <c r="B5" s="26" t="s">
        <v>259</v>
      </c>
      <c r="C5" s="26" t="s">
        <v>2</v>
      </c>
      <c r="D5" s="27" t="s">
        <v>58</v>
      </c>
      <c r="E5" s="27" t="s">
        <v>47</v>
      </c>
      <c r="F5" s="27" t="s">
        <v>48</v>
      </c>
      <c r="G5" s="27" t="s">
        <v>32</v>
      </c>
    </row>
    <row r="6" spans="2:8" x14ac:dyDescent="0.35">
      <c r="B6" s="25">
        <v>1</v>
      </c>
      <c r="C6" s="26" t="s">
        <v>49</v>
      </c>
      <c r="D6" s="27">
        <v>1</v>
      </c>
      <c r="E6" s="29">
        <v>25000</v>
      </c>
      <c r="F6" s="25">
        <v>12</v>
      </c>
      <c r="G6" s="29">
        <f>D6*E6*F6</f>
        <v>300000</v>
      </c>
    </row>
    <row r="7" spans="2:8" x14ac:dyDescent="0.35">
      <c r="B7" s="25">
        <v>2</v>
      </c>
      <c r="C7" s="26" t="s">
        <v>50</v>
      </c>
      <c r="D7" s="27">
        <v>1</v>
      </c>
      <c r="E7" s="29">
        <v>25000</v>
      </c>
      <c r="F7" s="25">
        <v>12</v>
      </c>
      <c r="G7" s="29">
        <f t="shared" ref="G7:G14" si="0">D7*E7*F7</f>
        <v>300000</v>
      </c>
    </row>
    <row r="8" spans="2:8" x14ac:dyDescent="0.35">
      <c r="B8" s="25">
        <v>3</v>
      </c>
      <c r="C8" s="26" t="s">
        <v>51</v>
      </c>
      <c r="D8" s="27">
        <v>4</v>
      </c>
      <c r="E8" s="29">
        <v>85000</v>
      </c>
      <c r="F8" s="25">
        <v>12</v>
      </c>
      <c r="G8" s="29">
        <f t="shared" si="0"/>
        <v>4080000</v>
      </c>
    </row>
    <row r="9" spans="2:8" x14ac:dyDescent="0.35">
      <c r="B9" s="25">
        <v>4</v>
      </c>
      <c r="C9" s="26" t="s">
        <v>52</v>
      </c>
      <c r="D9" s="27">
        <v>4</v>
      </c>
      <c r="E9" s="29">
        <v>65000</v>
      </c>
      <c r="F9" s="25">
        <v>12</v>
      </c>
      <c r="G9" s="29">
        <f t="shared" si="0"/>
        <v>3120000</v>
      </c>
    </row>
    <row r="10" spans="2:8" x14ac:dyDescent="0.35">
      <c r="B10" s="25">
        <v>5</v>
      </c>
      <c r="C10" s="26" t="s">
        <v>53</v>
      </c>
      <c r="D10" s="27">
        <v>1</v>
      </c>
      <c r="E10" s="29">
        <v>30000</v>
      </c>
      <c r="F10" s="25">
        <v>12</v>
      </c>
      <c r="G10" s="29">
        <f t="shared" si="0"/>
        <v>360000</v>
      </c>
    </row>
    <row r="11" spans="2:8" x14ac:dyDescent="0.35">
      <c r="B11" s="25">
        <v>6</v>
      </c>
      <c r="C11" s="26" t="s">
        <v>54</v>
      </c>
      <c r="D11" s="27">
        <v>8</v>
      </c>
      <c r="E11" s="29">
        <v>60000</v>
      </c>
      <c r="F11" s="25">
        <v>12</v>
      </c>
      <c r="G11" s="29">
        <f t="shared" si="0"/>
        <v>5760000</v>
      </c>
    </row>
    <row r="12" spans="2:8" x14ac:dyDescent="0.35">
      <c r="B12" s="25">
        <v>7</v>
      </c>
      <c r="C12" s="26" t="s">
        <v>55</v>
      </c>
      <c r="D12" s="27">
        <v>2</v>
      </c>
      <c r="E12" s="29">
        <v>60000</v>
      </c>
      <c r="F12" s="25">
        <v>12</v>
      </c>
      <c r="G12" s="29">
        <f t="shared" si="0"/>
        <v>1440000</v>
      </c>
    </row>
    <row r="13" spans="2:8" x14ac:dyDescent="0.35">
      <c r="B13" s="25">
        <v>8</v>
      </c>
      <c r="C13" s="26" t="s">
        <v>56</v>
      </c>
      <c r="D13" s="27">
        <v>6</v>
      </c>
      <c r="E13" s="29">
        <v>40000</v>
      </c>
      <c r="F13" s="25">
        <v>12</v>
      </c>
      <c r="G13" s="29">
        <f t="shared" si="0"/>
        <v>2880000</v>
      </c>
    </row>
    <row r="14" spans="2:8" x14ac:dyDescent="0.35">
      <c r="B14" s="25">
        <v>9</v>
      </c>
      <c r="C14" s="26" t="s">
        <v>57</v>
      </c>
      <c r="D14" s="27">
        <v>2</v>
      </c>
      <c r="E14" s="29">
        <v>60000</v>
      </c>
      <c r="F14" s="25">
        <v>12</v>
      </c>
      <c r="G14" s="29">
        <f t="shared" si="0"/>
        <v>1440000</v>
      </c>
    </row>
    <row r="15" spans="2:8" x14ac:dyDescent="0.35">
      <c r="G15" s="28"/>
    </row>
    <row r="18" spans="2:8" x14ac:dyDescent="0.35">
      <c r="B18" s="26"/>
      <c r="C18" s="26" t="s">
        <v>73</v>
      </c>
      <c r="H18" s="30">
        <f>SUM(G20:G29)</f>
        <v>1219600</v>
      </c>
    </row>
    <row r="19" spans="2:8" x14ac:dyDescent="0.35">
      <c r="B19" s="26" t="s">
        <v>259</v>
      </c>
      <c r="C19" s="26" t="s">
        <v>2</v>
      </c>
      <c r="D19" s="27" t="s">
        <v>4</v>
      </c>
      <c r="E19" s="27" t="s">
        <v>65</v>
      </c>
      <c r="F19" s="27" t="s">
        <v>260</v>
      </c>
      <c r="G19" s="27" t="s">
        <v>32</v>
      </c>
    </row>
    <row r="20" spans="2:8" x14ac:dyDescent="0.35">
      <c r="B20" s="25">
        <v>1</v>
      </c>
      <c r="C20" s="26" t="s">
        <v>59</v>
      </c>
      <c r="D20" s="27">
        <v>2</v>
      </c>
      <c r="E20" s="29">
        <v>12000</v>
      </c>
      <c r="F20" s="25">
        <v>12</v>
      </c>
      <c r="G20" s="29">
        <f>D20*E20*F20</f>
        <v>288000</v>
      </c>
    </row>
    <row r="21" spans="2:8" x14ac:dyDescent="0.35">
      <c r="B21" s="25">
        <v>2</v>
      </c>
      <c r="C21" s="26" t="s">
        <v>83</v>
      </c>
      <c r="D21" s="27">
        <v>1</v>
      </c>
      <c r="E21" s="29">
        <v>18500</v>
      </c>
      <c r="F21" s="25">
        <v>12</v>
      </c>
      <c r="G21" s="29">
        <f t="shared" ref="G21:G29" si="1">D21*E21*F21</f>
        <v>222000</v>
      </c>
    </row>
    <row r="22" spans="2:8" ht="28" x14ac:dyDescent="0.35">
      <c r="B22" s="25">
        <v>3</v>
      </c>
      <c r="C22" s="26" t="s">
        <v>261</v>
      </c>
      <c r="D22" s="27">
        <v>1</v>
      </c>
      <c r="E22" s="29">
        <v>11000</v>
      </c>
      <c r="F22" s="25">
        <v>12</v>
      </c>
      <c r="G22" s="29">
        <f t="shared" si="1"/>
        <v>132000</v>
      </c>
    </row>
    <row r="23" spans="2:8" x14ac:dyDescent="0.35">
      <c r="B23" s="25">
        <v>4</v>
      </c>
      <c r="C23" s="26" t="s">
        <v>84</v>
      </c>
      <c r="D23" s="27">
        <v>1</v>
      </c>
      <c r="E23" s="29">
        <v>12000</v>
      </c>
      <c r="F23" s="25">
        <v>4</v>
      </c>
      <c r="G23" s="29">
        <f t="shared" si="1"/>
        <v>48000</v>
      </c>
    </row>
    <row r="24" spans="2:8" x14ac:dyDescent="0.35">
      <c r="B24" s="25">
        <v>5</v>
      </c>
      <c r="C24" s="26" t="s">
        <v>262</v>
      </c>
      <c r="D24" s="27">
        <v>1</v>
      </c>
      <c r="E24" s="29">
        <v>4500</v>
      </c>
      <c r="F24" s="25">
        <v>12</v>
      </c>
      <c r="G24" s="29">
        <f t="shared" si="1"/>
        <v>54000</v>
      </c>
    </row>
    <row r="25" spans="2:8" x14ac:dyDescent="0.35">
      <c r="B25" s="25">
        <v>6</v>
      </c>
      <c r="C25" s="26" t="s">
        <v>60</v>
      </c>
      <c r="D25" s="27">
        <v>1</v>
      </c>
      <c r="E25" s="29">
        <v>4800</v>
      </c>
      <c r="F25" s="25">
        <v>12</v>
      </c>
      <c r="G25" s="29">
        <f t="shared" si="1"/>
        <v>57600</v>
      </c>
    </row>
    <row r="26" spans="2:8" x14ac:dyDescent="0.35">
      <c r="B26" s="25">
        <v>7</v>
      </c>
      <c r="C26" s="26" t="s">
        <v>263</v>
      </c>
      <c r="D26" s="27">
        <v>1</v>
      </c>
      <c r="E26" s="29">
        <v>25000</v>
      </c>
      <c r="F26" s="25">
        <v>4</v>
      </c>
      <c r="G26" s="29">
        <f t="shared" si="1"/>
        <v>100000</v>
      </c>
    </row>
    <row r="27" spans="2:8" x14ac:dyDescent="0.35">
      <c r="B27" s="25">
        <v>8</v>
      </c>
      <c r="C27" s="26" t="s">
        <v>264</v>
      </c>
      <c r="D27" s="27">
        <v>1</v>
      </c>
      <c r="E27" s="29">
        <v>4500</v>
      </c>
      <c r="F27" s="25">
        <v>12</v>
      </c>
      <c r="G27" s="29">
        <f t="shared" si="1"/>
        <v>54000</v>
      </c>
    </row>
    <row r="28" spans="2:8" x14ac:dyDescent="0.35">
      <c r="B28" s="25">
        <v>9</v>
      </c>
      <c r="C28" s="26" t="s">
        <v>265</v>
      </c>
      <c r="D28" s="27">
        <v>1</v>
      </c>
      <c r="E28" s="29">
        <v>17000</v>
      </c>
      <c r="F28" s="25">
        <v>12</v>
      </c>
      <c r="G28" s="29">
        <f>D28*E28*F28</f>
        <v>204000</v>
      </c>
    </row>
    <row r="29" spans="2:8" x14ac:dyDescent="0.35">
      <c r="B29" s="25">
        <v>10</v>
      </c>
      <c r="C29" s="26" t="s">
        <v>61</v>
      </c>
      <c r="D29" s="27">
        <v>1</v>
      </c>
      <c r="E29" s="29">
        <v>5000</v>
      </c>
      <c r="F29" s="25">
        <v>12</v>
      </c>
      <c r="G29" s="29">
        <f t="shared" si="1"/>
        <v>60000</v>
      </c>
    </row>
    <row r="30" spans="2:8" x14ac:dyDescent="0.35">
      <c r="G30" s="28"/>
    </row>
    <row r="33" spans="2:8" x14ac:dyDescent="0.35">
      <c r="B33" s="26"/>
      <c r="C33" s="26" t="s">
        <v>266</v>
      </c>
      <c r="H33" s="30">
        <f>SUM(G35:G44)</f>
        <v>2915200</v>
      </c>
    </row>
    <row r="34" spans="2:8" x14ac:dyDescent="0.35">
      <c r="B34" s="26" t="s">
        <v>259</v>
      </c>
      <c r="C34" s="26" t="s">
        <v>2</v>
      </c>
      <c r="D34" s="27" t="s">
        <v>4</v>
      </c>
      <c r="E34" s="27" t="s">
        <v>64</v>
      </c>
      <c r="F34" s="27" t="s">
        <v>48</v>
      </c>
      <c r="G34" s="27" t="s">
        <v>32</v>
      </c>
    </row>
    <row r="35" spans="2:8" x14ac:dyDescent="0.35">
      <c r="B35" s="25">
        <v>1</v>
      </c>
      <c r="C35" s="26" t="s">
        <v>62</v>
      </c>
      <c r="D35" s="27">
        <f>SUM(Gastos!D36:D43)</f>
        <v>68</v>
      </c>
      <c r="E35" s="29">
        <v>1500</v>
      </c>
      <c r="F35" s="25">
        <v>6</v>
      </c>
      <c r="G35" s="29">
        <f>D35*E35*F35</f>
        <v>612000</v>
      </c>
    </row>
    <row r="36" spans="2:8" x14ac:dyDescent="0.35">
      <c r="B36" s="25">
        <v>2</v>
      </c>
      <c r="C36" s="26" t="s">
        <v>63</v>
      </c>
      <c r="D36" s="27">
        <v>10</v>
      </c>
      <c r="E36" s="29">
        <v>2500</v>
      </c>
      <c r="F36" s="25">
        <v>2</v>
      </c>
      <c r="G36" s="29">
        <f t="shared" ref="G36:G44" si="2">D36*E36*F36</f>
        <v>50000</v>
      </c>
    </row>
    <row r="37" spans="2:8" x14ac:dyDescent="0.35">
      <c r="B37" s="25">
        <v>3</v>
      </c>
      <c r="C37" s="26" t="s">
        <v>66</v>
      </c>
      <c r="D37" s="27">
        <v>3</v>
      </c>
      <c r="E37" s="29">
        <v>35000</v>
      </c>
      <c r="F37" s="25">
        <v>12</v>
      </c>
      <c r="G37" s="29">
        <f t="shared" si="2"/>
        <v>1260000</v>
      </c>
    </row>
    <row r="38" spans="2:8" x14ac:dyDescent="0.35">
      <c r="B38" s="25">
        <v>4</v>
      </c>
      <c r="C38" s="26" t="s">
        <v>267</v>
      </c>
      <c r="D38" s="27">
        <v>20</v>
      </c>
      <c r="E38" s="29">
        <v>2500</v>
      </c>
      <c r="F38" s="25">
        <v>12</v>
      </c>
      <c r="G38" s="29">
        <f t="shared" si="2"/>
        <v>600000</v>
      </c>
    </row>
    <row r="39" spans="2:8" x14ac:dyDescent="0.35">
      <c r="B39" s="25">
        <v>5</v>
      </c>
      <c r="C39" s="26" t="s">
        <v>67</v>
      </c>
      <c r="D39" s="27">
        <v>1</v>
      </c>
      <c r="E39" s="29">
        <v>3500</v>
      </c>
      <c r="F39" s="25">
        <v>12</v>
      </c>
      <c r="G39" s="29">
        <f t="shared" si="2"/>
        <v>42000</v>
      </c>
    </row>
    <row r="40" spans="2:8" x14ac:dyDescent="0.35">
      <c r="B40" s="25">
        <v>6</v>
      </c>
      <c r="C40" s="26" t="s">
        <v>68</v>
      </c>
      <c r="D40" s="27">
        <v>28</v>
      </c>
      <c r="E40" s="29">
        <v>200</v>
      </c>
      <c r="F40" s="25">
        <v>12</v>
      </c>
      <c r="G40" s="29">
        <f>D40*E40*F40</f>
        <v>67200</v>
      </c>
    </row>
    <row r="41" spans="2:8" x14ac:dyDescent="0.35">
      <c r="B41" s="25">
        <v>7</v>
      </c>
      <c r="C41" s="26" t="s">
        <v>69</v>
      </c>
      <c r="D41" s="27">
        <v>4</v>
      </c>
      <c r="E41" s="29">
        <v>5000</v>
      </c>
      <c r="F41" s="25">
        <v>1</v>
      </c>
      <c r="G41" s="29">
        <f t="shared" si="2"/>
        <v>20000</v>
      </c>
    </row>
    <row r="42" spans="2:8" x14ac:dyDescent="0.35">
      <c r="B42" s="25">
        <v>8</v>
      </c>
      <c r="C42" s="26" t="s">
        <v>70</v>
      </c>
      <c r="D42" s="27">
        <v>1</v>
      </c>
      <c r="E42" s="29">
        <v>12000</v>
      </c>
      <c r="F42" s="25">
        <v>12</v>
      </c>
      <c r="G42" s="29">
        <f t="shared" si="2"/>
        <v>144000</v>
      </c>
    </row>
    <row r="43" spans="2:8" x14ac:dyDescent="0.35">
      <c r="B43" s="25">
        <v>9</v>
      </c>
      <c r="C43" s="26" t="s">
        <v>71</v>
      </c>
      <c r="D43" s="27">
        <v>1</v>
      </c>
      <c r="E43" s="29">
        <v>5000</v>
      </c>
      <c r="F43" s="25">
        <v>12</v>
      </c>
      <c r="G43" s="29">
        <f t="shared" si="2"/>
        <v>60000</v>
      </c>
    </row>
    <row r="44" spans="2:8" x14ac:dyDescent="0.35">
      <c r="B44" s="25">
        <v>10</v>
      </c>
      <c r="C44" s="26" t="s">
        <v>71</v>
      </c>
      <c r="D44" s="27">
        <v>1</v>
      </c>
      <c r="E44" s="29">
        <v>5000</v>
      </c>
      <c r="F44" s="25">
        <v>12</v>
      </c>
      <c r="G44" s="29">
        <f t="shared" si="2"/>
        <v>60000</v>
      </c>
    </row>
    <row r="45" spans="2:8" x14ac:dyDescent="0.35">
      <c r="G45" s="28"/>
    </row>
    <row r="48" spans="2:8" x14ac:dyDescent="0.35">
      <c r="B48" s="26"/>
      <c r="C48" s="26" t="s">
        <v>75</v>
      </c>
      <c r="H48" s="30">
        <f>SUM(G50:G59)</f>
        <v>924000</v>
      </c>
    </row>
    <row r="49" spans="2:8" x14ac:dyDescent="0.35">
      <c r="B49" s="26" t="s">
        <v>259</v>
      </c>
      <c r="C49" s="26" t="s">
        <v>2</v>
      </c>
      <c r="D49" s="27" t="s">
        <v>4</v>
      </c>
      <c r="E49" s="27" t="s">
        <v>64</v>
      </c>
      <c r="F49" s="27" t="s">
        <v>48</v>
      </c>
      <c r="G49" s="27" t="s">
        <v>32</v>
      </c>
    </row>
    <row r="50" spans="2:8" x14ac:dyDescent="0.35">
      <c r="B50" s="25">
        <v>1</v>
      </c>
      <c r="C50" s="26" t="s">
        <v>268</v>
      </c>
      <c r="D50" s="27">
        <v>8</v>
      </c>
      <c r="E50" s="29">
        <v>2500</v>
      </c>
      <c r="F50" s="25">
        <v>12</v>
      </c>
      <c r="G50" s="29">
        <f>D50*E50*F50</f>
        <v>240000</v>
      </c>
    </row>
    <row r="51" spans="2:8" x14ac:dyDescent="0.35">
      <c r="B51" s="25">
        <v>2</v>
      </c>
      <c r="C51" s="26" t="s">
        <v>74</v>
      </c>
      <c r="D51" s="27">
        <v>2</v>
      </c>
      <c r="E51" s="29">
        <v>1500</v>
      </c>
      <c r="F51" s="25">
        <v>4</v>
      </c>
      <c r="G51" s="29">
        <f t="shared" ref="G51:G54" si="3">D51*E51*F51</f>
        <v>12000</v>
      </c>
    </row>
    <row r="52" spans="2:8" x14ac:dyDescent="0.35">
      <c r="B52" s="25">
        <v>3</v>
      </c>
      <c r="C52" s="26" t="s">
        <v>269</v>
      </c>
      <c r="D52" s="27">
        <v>8</v>
      </c>
      <c r="E52" s="29">
        <v>2500</v>
      </c>
      <c r="F52" s="25">
        <v>12</v>
      </c>
      <c r="G52" s="29">
        <f t="shared" si="3"/>
        <v>240000</v>
      </c>
    </row>
    <row r="53" spans="2:8" x14ac:dyDescent="0.35">
      <c r="B53" s="25">
        <v>4</v>
      </c>
      <c r="C53" s="26" t="s">
        <v>270</v>
      </c>
      <c r="D53" s="27">
        <v>5</v>
      </c>
      <c r="E53" s="29">
        <v>1000</v>
      </c>
      <c r="F53" s="25">
        <v>12</v>
      </c>
      <c r="G53" s="29">
        <f t="shared" si="3"/>
        <v>60000</v>
      </c>
    </row>
    <row r="54" spans="2:8" x14ac:dyDescent="0.35">
      <c r="B54" s="25">
        <v>5</v>
      </c>
      <c r="C54" s="26" t="s">
        <v>76</v>
      </c>
      <c r="D54" s="27">
        <v>5</v>
      </c>
      <c r="E54" s="29">
        <v>1500</v>
      </c>
      <c r="F54" s="25">
        <v>12</v>
      </c>
      <c r="G54" s="29">
        <f t="shared" si="3"/>
        <v>90000</v>
      </c>
    </row>
    <row r="55" spans="2:8" x14ac:dyDescent="0.35">
      <c r="B55" s="25">
        <v>6</v>
      </c>
      <c r="C55" s="26" t="s">
        <v>271</v>
      </c>
      <c r="D55" s="27">
        <v>5</v>
      </c>
      <c r="E55" s="29">
        <v>3200</v>
      </c>
      <c r="F55" s="25">
        <v>12</v>
      </c>
      <c r="G55" s="29">
        <f>D55*E55*F55</f>
        <v>192000</v>
      </c>
    </row>
    <row r="56" spans="2:8" x14ac:dyDescent="0.35">
      <c r="B56" s="25">
        <v>7</v>
      </c>
      <c r="C56" s="26" t="s">
        <v>272</v>
      </c>
      <c r="D56" s="27">
        <v>3</v>
      </c>
      <c r="E56" s="29">
        <v>1500</v>
      </c>
      <c r="F56" s="25">
        <v>12</v>
      </c>
      <c r="G56" s="29">
        <f t="shared" ref="G56:G59" si="4">D56*E56*F56</f>
        <v>54000</v>
      </c>
    </row>
    <row r="57" spans="2:8" x14ac:dyDescent="0.35">
      <c r="B57" s="25">
        <v>8</v>
      </c>
      <c r="C57" s="26" t="s">
        <v>71</v>
      </c>
      <c r="D57" s="27">
        <v>1</v>
      </c>
      <c r="E57" s="29">
        <v>1000</v>
      </c>
      <c r="F57" s="25">
        <v>12</v>
      </c>
      <c r="G57" s="29">
        <f t="shared" si="4"/>
        <v>12000</v>
      </c>
    </row>
    <row r="58" spans="2:8" x14ac:dyDescent="0.35">
      <c r="B58" s="25">
        <v>9</v>
      </c>
      <c r="C58" s="26" t="s">
        <v>71</v>
      </c>
      <c r="D58" s="27">
        <v>1</v>
      </c>
      <c r="E58" s="29">
        <v>1000</v>
      </c>
      <c r="F58" s="25">
        <v>12</v>
      </c>
      <c r="G58" s="29">
        <f t="shared" si="4"/>
        <v>12000</v>
      </c>
    </row>
    <row r="59" spans="2:8" x14ac:dyDescent="0.35">
      <c r="B59" s="25">
        <v>10</v>
      </c>
      <c r="C59" s="26" t="s">
        <v>71</v>
      </c>
      <c r="D59" s="27">
        <v>1</v>
      </c>
      <c r="E59" s="29">
        <v>1000</v>
      </c>
      <c r="F59" s="25">
        <v>12</v>
      </c>
      <c r="G59" s="29">
        <f t="shared" si="4"/>
        <v>12000</v>
      </c>
    </row>
    <row r="60" spans="2:8" x14ac:dyDescent="0.35">
      <c r="G60" s="28"/>
    </row>
    <row r="62" spans="2:8" x14ac:dyDescent="0.35">
      <c r="B62" s="26"/>
      <c r="C62" s="26" t="s">
        <v>191</v>
      </c>
      <c r="H62" s="30">
        <f>SUM(G64:G176)</f>
        <v>1073717</v>
      </c>
    </row>
    <row r="63" spans="2:8" x14ac:dyDescent="0.35">
      <c r="B63" s="26" t="s">
        <v>259</v>
      </c>
      <c r="C63" s="26" t="s">
        <v>2</v>
      </c>
      <c r="D63" s="27" t="s">
        <v>4</v>
      </c>
      <c r="E63" s="27" t="s">
        <v>64</v>
      </c>
      <c r="F63" s="27" t="s">
        <v>48</v>
      </c>
      <c r="G63" s="27" t="s">
        <v>32</v>
      </c>
      <c r="H63" s="30"/>
    </row>
    <row r="64" spans="2:8" x14ac:dyDescent="0.35">
      <c r="C64" s="37" t="s">
        <v>273</v>
      </c>
      <c r="D64" s="33">
        <v>1</v>
      </c>
      <c r="E64" s="34">
        <v>35000</v>
      </c>
      <c r="F64" s="38">
        <v>0.5</v>
      </c>
      <c r="G64" s="29">
        <f>D64*E64*F64</f>
        <v>17500</v>
      </c>
    </row>
    <row r="65" spans="3:7" x14ac:dyDescent="0.35">
      <c r="C65" s="37" t="s">
        <v>86</v>
      </c>
      <c r="D65" s="33">
        <v>1</v>
      </c>
      <c r="E65" s="34">
        <v>20000</v>
      </c>
      <c r="F65" s="38">
        <v>0.1</v>
      </c>
      <c r="G65" s="29">
        <f t="shared" ref="G65:G126" si="5">D65*E65*F65</f>
        <v>2000</v>
      </c>
    </row>
    <row r="66" spans="3:7" x14ac:dyDescent="0.35">
      <c r="C66" s="37" t="s">
        <v>87</v>
      </c>
      <c r="D66" s="33">
        <v>1</v>
      </c>
      <c r="E66" s="34">
        <v>12000</v>
      </c>
      <c r="F66" s="38">
        <v>0.1</v>
      </c>
      <c r="G66" s="29">
        <f t="shared" si="5"/>
        <v>1200</v>
      </c>
    </row>
    <row r="67" spans="3:7" x14ac:dyDescent="0.35">
      <c r="C67" s="37" t="s">
        <v>88</v>
      </c>
      <c r="D67" s="33">
        <v>1</v>
      </c>
      <c r="E67" s="34">
        <v>8500</v>
      </c>
      <c r="F67" s="38">
        <v>0.1</v>
      </c>
      <c r="G67" s="29">
        <f t="shared" si="5"/>
        <v>850</v>
      </c>
    </row>
    <row r="68" spans="3:7" x14ac:dyDescent="0.35">
      <c r="C68" s="37" t="s">
        <v>89</v>
      </c>
      <c r="D68" s="33">
        <v>1</v>
      </c>
      <c r="E68" s="34">
        <v>3500</v>
      </c>
      <c r="F68" s="38">
        <v>0.1</v>
      </c>
      <c r="G68" s="29">
        <f t="shared" si="5"/>
        <v>350</v>
      </c>
    </row>
    <row r="69" spans="3:7" x14ac:dyDescent="0.35">
      <c r="C69" s="37" t="s">
        <v>90</v>
      </c>
      <c r="D69" s="33">
        <v>1</v>
      </c>
      <c r="E69" s="34">
        <v>7500</v>
      </c>
      <c r="F69" s="38">
        <v>0.1</v>
      </c>
      <c r="G69" s="29">
        <f t="shared" si="5"/>
        <v>750</v>
      </c>
    </row>
    <row r="70" spans="3:7" x14ac:dyDescent="0.35">
      <c r="C70" s="37" t="s">
        <v>91</v>
      </c>
      <c r="D70" s="33">
        <v>1</v>
      </c>
      <c r="E70" s="34">
        <v>50000</v>
      </c>
      <c r="F70" s="38">
        <v>0.1</v>
      </c>
      <c r="G70" s="29">
        <f t="shared" si="5"/>
        <v>5000</v>
      </c>
    </row>
    <row r="71" spans="3:7" x14ac:dyDescent="0.35">
      <c r="C71" s="37" t="s">
        <v>92</v>
      </c>
      <c r="D71" s="33">
        <v>1</v>
      </c>
      <c r="E71" s="34">
        <v>7500</v>
      </c>
      <c r="F71" s="34">
        <v>1</v>
      </c>
      <c r="G71" s="29">
        <f t="shared" si="5"/>
        <v>7500</v>
      </c>
    </row>
    <row r="72" spans="3:7" x14ac:dyDescent="0.35">
      <c r="C72" s="37" t="s">
        <v>93</v>
      </c>
      <c r="D72" s="33">
        <v>1</v>
      </c>
      <c r="E72" s="34">
        <v>25000</v>
      </c>
      <c r="F72" s="34">
        <v>1</v>
      </c>
      <c r="G72" s="29">
        <f t="shared" si="5"/>
        <v>25000</v>
      </c>
    </row>
    <row r="73" spans="3:7" x14ac:dyDescent="0.35">
      <c r="C73" s="37" t="s">
        <v>94</v>
      </c>
      <c r="D73" s="33">
        <v>1</v>
      </c>
      <c r="E73" s="34">
        <v>10000</v>
      </c>
      <c r="F73" s="34">
        <v>1</v>
      </c>
      <c r="G73" s="29">
        <f t="shared" si="5"/>
        <v>10000</v>
      </c>
    </row>
    <row r="74" spans="3:7" x14ac:dyDescent="0.35">
      <c r="C74" s="37" t="s">
        <v>274</v>
      </c>
      <c r="D74" s="33">
        <v>1</v>
      </c>
      <c r="E74" s="34">
        <v>15000</v>
      </c>
      <c r="F74" s="38">
        <v>0.25</v>
      </c>
      <c r="G74" s="29">
        <f t="shared" si="5"/>
        <v>3750</v>
      </c>
    </row>
    <row r="75" spans="3:7" x14ac:dyDescent="0.35">
      <c r="C75" s="37" t="s">
        <v>95</v>
      </c>
      <c r="D75" s="33">
        <v>1</v>
      </c>
      <c r="E75" s="34">
        <v>50000</v>
      </c>
      <c r="F75" s="38">
        <v>0.2</v>
      </c>
      <c r="G75" s="29">
        <f t="shared" si="5"/>
        <v>10000</v>
      </c>
    </row>
    <row r="76" spans="3:7" x14ac:dyDescent="0.35">
      <c r="C76" s="37" t="s">
        <v>96</v>
      </c>
      <c r="D76" s="33">
        <v>1</v>
      </c>
      <c r="E76" s="34">
        <v>9000</v>
      </c>
      <c r="F76" s="38">
        <v>0.5</v>
      </c>
      <c r="G76" s="29">
        <f t="shared" si="5"/>
        <v>4500</v>
      </c>
    </row>
    <row r="77" spans="3:7" x14ac:dyDescent="0.35">
      <c r="C77" s="37" t="s">
        <v>97</v>
      </c>
      <c r="D77" s="33">
        <v>1</v>
      </c>
      <c r="E77" s="34">
        <v>10000</v>
      </c>
      <c r="F77" s="38">
        <v>0.5</v>
      </c>
      <c r="G77" s="29">
        <f t="shared" si="5"/>
        <v>5000</v>
      </c>
    </row>
    <row r="78" spans="3:7" x14ac:dyDescent="0.35">
      <c r="C78" s="37" t="s">
        <v>98</v>
      </c>
      <c r="D78" s="33">
        <v>1</v>
      </c>
      <c r="E78" s="34">
        <v>15000</v>
      </c>
      <c r="F78" s="38">
        <v>0.5</v>
      </c>
      <c r="G78" s="29">
        <f t="shared" si="5"/>
        <v>7500</v>
      </c>
    </row>
    <row r="79" spans="3:7" x14ac:dyDescent="0.35">
      <c r="C79" s="37" t="s">
        <v>99</v>
      </c>
      <c r="D79" s="33">
        <v>1</v>
      </c>
      <c r="E79" s="34">
        <v>5500</v>
      </c>
      <c r="F79" s="38">
        <v>1</v>
      </c>
      <c r="G79" s="29">
        <f t="shared" si="5"/>
        <v>5500</v>
      </c>
    </row>
    <row r="80" spans="3:7" x14ac:dyDescent="0.35">
      <c r="C80" s="37" t="s">
        <v>100</v>
      </c>
      <c r="D80" s="33">
        <v>1</v>
      </c>
      <c r="E80" s="34">
        <v>1200</v>
      </c>
      <c r="F80" s="38">
        <v>0.1</v>
      </c>
      <c r="G80" s="29">
        <f t="shared" si="5"/>
        <v>120</v>
      </c>
    </row>
    <row r="81" spans="3:7" x14ac:dyDescent="0.35">
      <c r="C81" s="37" t="s">
        <v>101</v>
      </c>
      <c r="D81" s="33">
        <v>1</v>
      </c>
      <c r="E81" s="34">
        <v>35000</v>
      </c>
      <c r="F81" s="38">
        <v>0.1</v>
      </c>
      <c r="G81" s="29">
        <f t="shared" si="5"/>
        <v>3500</v>
      </c>
    </row>
    <row r="82" spans="3:7" x14ac:dyDescent="0.35">
      <c r="C82" s="37" t="s">
        <v>102</v>
      </c>
      <c r="D82" s="33">
        <v>1</v>
      </c>
      <c r="E82" s="34">
        <v>20000</v>
      </c>
      <c r="F82" s="38">
        <v>0.5</v>
      </c>
      <c r="G82" s="29">
        <f t="shared" si="5"/>
        <v>10000</v>
      </c>
    </row>
    <row r="83" spans="3:7" x14ac:dyDescent="0.35">
      <c r="C83" s="37" t="s">
        <v>275</v>
      </c>
      <c r="D83" s="33">
        <v>1</v>
      </c>
      <c r="E83" s="34">
        <v>8000</v>
      </c>
      <c r="F83" s="34">
        <v>1</v>
      </c>
      <c r="G83" s="29">
        <f t="shared" si="5"/>
        <v>8000</v>
      </c>
    </row>
    <row r="84" spans="3:7" x14ac:dyDescent="0.35">
      <c r="C84" s="37" t="s">
        <v>103</v>
      </c>
      <c r="D84" s="33">
        <v>1</v>
      </c>
      <c r="E84" s="34">
        <v>8000</v>
      </c>
      <c r="F84" s="34">
        <v>1</v>
      </c>
      <c r="G84" s="29">
        <f t="shared" si="5"/>
        <v>8000</v>
      </c>
    </row>
    <row r="85" spans="3:7" x14ac:dyDescent="0.35">
      <c r="C85" s="37" t="s">
        <v>104</v>
      </c>
      <c r="D85" s="33">
        <v>1</v>
      </c>
      <c r="E85" s="34">
        <v>8000</v>
      </c>
      <c r="F85" s="34">
        <v>1</v>
      </c>
      <c r="G85" s="29">
        <f t="shared" si="5"/>
        <v>8000</v>
      </c>
    </row>
    <row r="86" spans="3:7" x14ac:dyDescent="0.35">
      <c r="C86" s="37" t="s">
        <v>105</v>
      </c>
      <c r="D86" s="33">
        <v>1</v>
      </c>
      <c r="E86" s="34">
        <v>15000</v>
      </c>
      <c r="F86" s="38">
        <v>0.25</v>
      </c>
      <c r="G86" s="29">
        <f t="shared" si="5"/>
        <v>3750</v>
      </c>
    </row>
    <row r="87" spans="3:7" x14ac:dyDescent="0.35">
      <c r="C87" s="37" t="s">
        <v>106</v>
      </c>
      <c r="D87" s="33">
        <v>1</v>
      </c>
      <c r="E87" s="34">
        <v>15000</v>
      </c>
      <c r="F87" s="38">
        <v>0.25</v>
      </c>
      <c r="G87" s="29">
        <f t="shared" si="5"/>
        <v>3750</v>
      </c>
    </row>
    <row r="88" spans="3:7" x14ac:dyDescent="0.35">
      <c r="C88" s="37" t="s">
        <v>276</v>
      </c>
      <c r="D88" s="33">
        <v>1</v>
      </c>
      <c r="E88" s="34">
        <v>15000</v>
      </c>
      <c r="F88" s="38">
        <v>0.25</v>
      </c>
      <c r="G88" s="29">
        <f t="shared" si="5"/>
        <v>3750</v>
      </c>
    </row>
    <row r="89" spans="3:7" x14ac:dyDescent="0.35">
      <c r="C89" s="37" t="s">
        <v>107</v>
      </c>
      <c r="D89" s="33">
        <v>1</v>
      </c>
      <c r="E89" s="34">
        <v>15000</v>
      </c>
      <c r="F89" s="38">
        <v>0.25</v>
      </c>
      <c r="G89" s="29">
        <f t="shared" si="5"/>
        <v>3750</v>
      </c>
    </row>
    <row r="90" spans="3:7" x14ac:dyDescent="0.35">
      <c r="C90" s="37" t="s">
        <v>108</v>
      </c>
      <c r="D90" s="33">
        <v>1</v>
      </c>
      <c r="E90" s="34">
        <v>5000</v>
      </c>
      <c r="F90" s="38">
        <v>0.25</v>
      </c>
      <c r="G90" s="29">
        <f t="shared" si="5"/>
        <v>1250</v>
      </c>
    </row>
    <row r="91" spans="3:7" x14ac:dyDescent="0.35">
      <c r="C91" s="37" t="s">
        <v>109</v>
      </c>
      <c r="D91" s="33">
        <v>1</v>
      </c>
      <c r="E91" s="34">
        <v>5500</v>
      </c>
      <c r="F91" s="38">
        <v>0.25</v>
      </c>
      <c r="G91" s="29">
        <f t="shared" si="5"/>
        <v>1375</v>
      </c>
    </row>
    <row r="92" spans="3:7" x14ac:dyDescent="0.35">
      <c r="C92" s="37" t="s">
        <v>110</v>
      </c>
      <c r="D92" s="33">
        <v>1</v>
      </c>
      <c r="E92" s="34">
        <v>2500</v>
      </c>
      <c r="F92" s="38">
        <v>0.25</v>
      </c>
      <c r="G92" s="29">
        <f t="shared" si="5"/>
        <v>625</v>
      </c>
    </row>
    <row r="93" spans="3:7" x14ac:dyDescent="0.35">
      <c r="C93" s="37" t="s">
        <v>111</v>
      </c>
      <c r="D93" s="33">
        <v>1</v>
      </c>
      <c r="E93" s="34">
        <v>7500</v>
      </c>
      <c r="F93" s="38">
        <v>0.25</v>
      </c>
      <c r="G93" s="29">
        <f t="shared" si="5"/>
        <v>1875</v>
      </c>
    </row>
    <row r="94" spans="3:7" x14ac:dyDescent="0.35">
      <c r="C94" s="37" t="s">
        <v>112</v>
      </c>
      <c r="D94" s="33">
        <v>1</v>
      </c>
      <c r="E94" s="34">
        <v>5000</v>
      </c>
      <c r="F94" s="38">
        <v>0.25</v>
      </c>
      <c r="G94" s="29">
        <f t="shared" si="5"/>
        <v>1250</v>
      </c>
    </row>
    <row r="95" spans="3:7" x14ac:dyDescent="0.35">
      <c r="C95" s="37" t="s">
        <v>113</v>
      </c>
      <c r="D95" s="33">
        <v>1</v>
      </c>
      <c r="E95" s="34">
        <v>5500</v>
      </c>
      <c r="F95" s="38">
        <v>0.25</v>
      </c>
      <c r="G95" s="29">
        <f t="shared" si="5"/>
        <v>1375</v>
      </c>
    </row>
    <row r="96" spans="3:7" x14ac:dyDescent="0.35">
      <c r="C96" s="37" t="s">
        <v>114</v>
      </c>
      <c r="D96" s="33">
        <v>1</v>
      </c>
      <c r="E96" s="34">
        <v>1500</v>
      </c>
      <c r="F96" s="38">
        <v>0.25</v>
      </c>
      <c r="G96" s="29">
        <f t="shared" si="5"/>
        <v>375</v>
      </c>
    </row>
    <row r="97" spans="3:7" x14ac:dyDescent="0.35">
      <c r="C97" s="37" t="s">
        <v>115</v>
      </c>
      <c r="D97" s="33">
        <v>1</v>
      </c>
      <c r="E97" s="34">
        <v>3500</v>
      </c>
      <c r="F97" s="38">
        <v>0.25</v>
      </c>
      <c r="G97" s="29">
        <f t="shared" si="5"/>
        <v>875</v>
      </c>
    </row>
    <row r="98" spans="3:7" x14ac:dyDescent="0.35">
      <c r="C98" s="37" t="s">
        <v>277</v>
      </c>
      <c r="D98" s="33">
        <v>1</v>
      </c>
      <c r="E98" s="34">
        <v>20000</v>
      </c>
      <c r="F98" s="38">
        <v>0.25</v>
      </c>
      <c r="G98" s="29">
        <f t="shared" si="5"/>
        <v>5000</v>
      </c>
    </row>
    <row r="99" spans="3:7" x14ac:dyDescent="0.35">
      <c r="C99" s="37" t="s">
        <v>116</v>
      </c>
      <c r="D99" s="33">
        <v>1</v>
      </c>
      <c r="E99" s="34">
        <v>5500</v>
      </c>
      <c r="F99" s="38">
        <v>0.25</v>
      </c>
      <c r="G99" s="29">
        <f t="shared" si="5"/>
        <v>1375</v>
      </c>
    </row>
    <row r="100" spans="3:7" x14ac:dyDescent="0.35">
      <c r="C100" s="37" t="s">
        <v>117</v>
      </c>
      <c r="D100" s="33">
        <v>1</v>
      </c>
      <c r="E100" s="34">
        <v>3500</v>
      </c>
      <c r="F100" s="38">
        <v>0.25</v>
      </c>
      <c r="G100" s="29">
        <f t="shared" si="5"/>
        <v>875</v>
      </c>
    </row>
    <row r="101" spans="3:7" x14ac:dyDescent="0.35">
      <c r="C101" s="37" t="s">
        <v>118</v>
      </c>
      <c r="D101" s="33">
        <v>1</v>
      </c>
      <c r="E101" s="34">
        <v>3000</v>
      </c>
      <c r="F101" s="38">
        <v>0.25</v>
      </c>
      <c r="G101" s="29">
        <f t="shared" si="5"/>
        <v>750</v>
      </c>
    </row>
    <row r="102" spans="3:7" x14ac:dyDescent="0.35">
      <c r="C102" s="37" t="s">
        <v>278</v>
      </c>
      <c r="D102" s="33">
        <v>1</v>
      </c>
      <c r="E102" s="34">
        <v>20000</v>
      </c>
      <c r="F102" s="38">
        <v>0.25</v>
      </c>
      <c r="G102" s="29">
        <f t="shared" si="5"/>
        <v>5000</v>
      </c>
    </row>
    <row r="103" spans="3:7" x14ac:dyDescent="0.35">
      <c r="C103" s="37" t="s">
        <v>119</v>
      </c>
      <c r="D103" s="33">
        <v>1</v>
      </c>
      <c r="E103" s="34">
        <v>1200</v>
      </c>
      <c r="F103" s="38">
        <v>0.25</v>
      </c>
      <c r="G103" s="29">
        <f t="shared" si="5"/>
        <v>300</v>
      </c>
    </row>
    <row r="104" spans="3:7" x14ac:dyDescent="0.35">
      <c r="C104" s="37" t="s">
        <v>120</v>
      </c>
      <c r="D104" s="33">
        <v>1</v>
      </c>
      <c r="E104" s="34">
        <v>1200</v>
      </c>
      <c r="F104" s="38">
        <v>0.25</v>
      </c>
      <c r="G104" s="29">
        <f t="shared" si="5"/>
        <v>300</v>
      </c>
    </row>
    <row r="105" spans="3:7" x14ac:dyDescent="0.35">
      <c r="C105" s="37" t="s">
        <v>121</v>
      </c>
      <c r="D105" s="33">
        <v>1</v>
      </c>
      <c r="E105" s="34">
        <v>1200</v>
      </c>
      <c r="F105" s="38">
        <v>0.25</v>
      </c>
      <c r="G105" s="29">
        <f t="shared" si="5"/>
        <v>300</v>
      </c>
    </row>
    <row r="106" spans="3:7" x14ac:dyDescent="0.35">
      <c r="C106" s="37" t="s">
        <v>122</v>
      </c>
      <c r="D106" s="33">
        <v>1</v>
      </c>
      <c r="E106" s="34">
        <v>1200</v>
      </c>
      <c r="F106" s="38">
        <v>0.25</v>
      </c>
      <c r="G106" s="29">
        <f t="shared" si="5"/>
        <v>300</v>
      </c>
    </row>
    <row r="107" spans="3:7" x14ac:dyDescent="0.35">
      <c r="C107" s="37" t="s">
        <v>123</v>
      </c>
      <c r="D107" s="33">
        <v>1</v>
      </c>
      <c r="E107" s="34">
        <v>1500</v>
      </c>
      <c r="F107" s="38">
        <v>0.25</v>
      </c>
      <c r="G107" s="29">
        <f t="shared" si="5"/>
        <v>375</v>
      </c>
    </row>
    <row r="108" spans="3:7" x14ac:dyDescent="0.35">
      <c r="C108" s="37" t="s">
        <v>124</v>
      </c>
      <c r="D108" s="33">
        <v>1</v>
      </c>
      <c r="E108" s="34">
        <v>5000</v>
      </c>
      <c r="F108" s="38">
        <v>0.25</v>
      </c>
      <c r="G108" s="29">
        <f t="shared" si="5"/>
        <v>1250</v>
      </c>
    </row>
    <row r="109" spans="3:7" x14ac:dyDescent="0.35">
      <c r="C109" s="37" t="s">
        <v>125</v>
      </c>
      <c r="D109" s="33">
        <v>1</v>
      </c>
      <c r="E109" s="34">
        <v>1500</v>
      </c>
      <c r="F109" s="38">
        <v>0.25</v>
      </c>
      <c r="G109" s="29">
        <f t="shared" si="5"/>
        <v>375</v>
      </c>
    </row>
    <row r="110" spans="3:7" x14ac:dyDescent="0.35">
      <c r="C110" s="37" t="s">
        <v>126</v>
      </c>
      <c r="D110" s="33">
        <v>1</v>
      </c>
      <c r="E110" s="34">
        <v>1200</v>
      </c>
      <c r="F110" s="38">
        <v>0.25</v>
      </c>
      <c r="G110" s="29">
        <f t="shared" si="5"/>
        <v>300</v>
      </c>
    </row>
    <row r="111" spans="3:7" x14ac:dyDescent="0.35">
      <c r="C111" s="37" t="s">
        <v>127</v>
      </c>
      <c r="D111" s="33">
        <v>1</v>
      </c>
      <c r="E111" s="34">
        <v>500</v>
      </c>
      <c r="F111" s="38">
        <v>0.25</v>
      </c>
      <c r="G111" s="29">
        <f t="shared" si="5"/>
        <v>125</v>
      </c>
    </row>
    <row r="112" spans="3:7" x14ac:dyDescent="0.35">
      <c r="C112" s="37" t="s">
        <v>128</v>
      </c>
      <c r="D112" s="33">
        <v>1</v>
      </c>
      <c r="E112" s="34">
        <v>25000</v>
      </c>
      <c r="F112" s="38">
        <v>0.25</v>
      </c>
      <c r="G112" s="29">
        <f t="shared" si="5"/>
        <v>6250</v>
      </c>
    </row>
    <row r="113" spans="3:7" x14ac:dyDescent="0.35">
      <c r="C113" s="37" t="s">
        <v>129</v>
      </c>
      <c r="D113" s="33">
        <v>1</v>
      </c>
      <c r="E113" s="34">
        <v>1200</v>
      </c>
      <c r="F113" s="38">
        <v>0.25</v>
      </c>
      <c r="G113" s="29">
        <f t="shared" si="5"/>
        <v>300</v>
      </c>
    </row>
    <row r="114" spans="3:7" x14ac:dyDescent="0.35">
      <c r="C114" s="37" t="s">
        <v>130</v>
      </c>
      <c r="D114" s="33">
        <v>1</v>
      </c>
      <c r="E114" s="34">
        <v>500</v>
      </c>
      <c r="F114" s="38">
        <v>0.25</v>
      </c>
      <c r="G114" s="29">
        <f t="shared" si="5"/>
        <v>125</v>
      </c>
    </row>
    <row r="115" spans="3:7" x14ac:dyDescent="0.35">
      <c r="C115" s="37" t="s">
        <v>131</v>
      </c>
      <c r="D115" s="33">
        <v>3</v>
      </c>
      <c r="E115" s="34">
        <v>1000</v>
      </c>
      <c r="F115" s="34">
        <v>1</v>
      </c>
      <c r="G115" s="29">
        <f t="shared" si="5"/>
        <v>3000</v>
      </c>
    </row>
    <row r="116" spans="3:7" x14ac:dyDescent="0.35">
      <c r="C116" s="37" t="s">
        <v>132</v>
      </c>
      <c r="D116" s="33">
        <v>3</v>
      </c>
      <c r="E116" s="34">
        <v>1000</v>
      </c>
      <c r="F116" s="34">
        <v>1</v>
      </c>
      <c r="G116" s="29">
        <f t="shared" si="5"/>
        <v>3000</v>
      </c>
    </row>
    <row r="117" spans="3:7" x14ac:dyDescent="0.35">
      <c r="C117" s="37" t="s">
        <v>133</v>
      </c>
      <c r="D117" s="33">
        <v>3</v>
      </c>
      <c r="E117" s="34">
        <v>1000</v>
      </c>
      <c r="F117" s="34">
        <v>1</v>
      </c>
      <c r="G117" s="29">
        <f t="shared" si="5"/>
        <v>3000</v>
      </c>
    </row>
    <row r="118" spans="3:7" x14ac:dyDescent="0.35">
      <c r="C118" s="37" t="s">
        <v>134</v>
      </c>
      <c r="D118" s="33">
        <v>3</v>
      </c>
      <c r="E118" s="34">
        <v>1000</v>
      </c>
      <c r="F118" s="34">
        <v>1</v>
      </c>
      <c r="G118" s="29">
        <f t="shared" si="5"/>
        <v>3000</v>
      </c>
    </row>
    <row r="119" spans="3:7" x14ac:dyDescent="0.35">
      <c r="C119" s="37" t="s">
        <v>135</v>
      </c>
      <c r="D119" s="33">
        <v>3</v>
      </c>
      <c r="E119" s="34">
        <v>1000</v>
      </c>
      <c r="F119" s="34">
        <v>1</v>
      </c>
      <c r="G119" s="29">
        <f t="shared" si="5"/>
        <v>3000</v>
      </c>
    </row>
    <row r="120" spans="3:7" x14ac:dyDescent="0.35">
      <c r="C120" s="37" t="s">
        <v>136</v>
      </c>
      <c r="D120" s="33">
        <v>3</v>
      </c>
      <c r="E120" s="34">
        <v>1000</v>
      </c>
      <c r="F120" s="34">
        <v>1</v>
      </c>
      <c r="G120" s="29">
        <f t="shared" si="5"/>
        <v>3000</v>
      </c>
    </row>
    <row r="121" spans="3:7" x14ac:dyDescent="0.35">
      <c r="C121" s="37" t="s">
        <v>137</v>
      </c>
      <c r="D121" s="33">
        <v>3</v>
      </c>
      <c r="E121" s="34">
        <v>1000</v>
      </c>
      <c r="F121" s="34">
        <v>1</v>
      </c>
      <c r="G121" s="29">
        <f t="shared" si="5"/>
        <v>3000</v>
      </c>
    </row>
    <row r="122" spans="3:7" x14ac:dyDescent="0.35">
      <c r="C122" s="37" t="s">
        <v>138</v>
      </c>
      <c r="D122" s="33">
        <v>3</v>
      </c>
      <c r="E122" s="34">
        <v>1000</v>
      </c>
      <c r="F122" s="34">
        <v>1</v>
      </c>
      <c r="G122" s="29">
        <f t="shared" si="5"/>
        <v>3000</v>
      </c>
    </row>
    <row r="123" spans="3:7" x14ac:dyDescent="0.35">
      <c r="C123" s="37" t="s">
        <v>139</v>
      </c>
      <c r="D123" s="33">
        <v>3</v>
      </c>
      <c r="E123" s="34">
        <v>1000</v>
      </c>
      <c r="F123" s="34">
        <v>1</v>
      </c>
      <c r="G123" s="29">
        <f t="shared" si="5"/>
        <v>3000</v>
      </c>
    </row>
    <row r="124" spans="3:7" x14ac:dyDescent="0.35">
      <c r="C124" s="37" t="s">
        <v>140</v>
      </c>
      <c r="D124" s="33">
        <v>3</v>
      </c>
      <c r="E124" s="34">
        <v>1000</v>
      </c>
      <c r="F124" s="34">
        <v>1</v>
      </c>
      <c r="G124" s="29">
        <f t="shared" si="5"/>
        <v>3000</v>
      </c>
    </row>
    <row r="125" spans="3:7" x14ac:dyDescent="0.35">
      <c r="C125" s="37" t="s">
        <v>141</v>
      </c>
      <c r="D125" s="33">
        <v>3</v>
      </c>
      <c r="E125" s="34">
        <v>1000</v>
      </c>
      <c r="F125" s="34">
        <v>1</v>
      </c>
      <c r="G125" s="29">
        <f t="shared" si="5"/>
        <v>3000</v>
      </c>
    </row>
    <row r="126" spans="3:7" x14ac:dyDescent="0.35">
      <c r="C126" s="37" t="s">
        <v>142</v>
      </c>
      <c r="D126" s="33">
        <v>3</v>
      </c>
      <c r="E126" s="34">
        <v>1000</v>
      </c>
      <c r="F126" s="34">
        <v>1</v>
      </c>
      <c r="G126" s="29">
        <f t="shared" si="5"/>
        <v>3000</v>
      </c>
    </row>
    <row r="127" spans="3:7" x14ac:dyDescent="0.35">
      <c r="C127" s="37" t="s">
        <v>143</v>
      </c>
      <c r="D127" s="33">
        <v>10</v>
      </c>
      <c r="E127" s="34">
        <v>230</v>
      </c>
      <c r="F127" s="34">
        <v>12</v>
      </c>
      <c r="G127" s="29">
        <f t="shared" ref="G127:G159" si="6">D127*E127*F127</f>
        <v>27600</v>
      </c>
    </row>
    <row r="128" spans="3:7" x14ac:dyDescent="0.35">
      <c r="C128" s="37" t="s">
        <v>144</v>
      </c>
      <c r="D128" s="33">
        <v>10</v>
      </c>
      <c r="E128" s="34">
        <v>120</v>
      </c>
      <c r="F128" s="34">
        <v>12</v>
      </c>
      <c r="G128" s="29">
        <f t="shared" si="6"/>
        <v>14400</v>
      </c>
    </row>
    <row r="129" spans="3:7" x14ac:dyDescent="0.35">
      <c r="C129" s="37" t="s">
        <v>145</v>
      </c>
      <c r="D129" s="33">
        <v>10</v>
      </c>
      <c r="E129" s="34">
        <v>100</v>
      </c>
      <c r="F129" s="34">
        <v>12</v>
      </c>
      <c r="G129" s="29">
        <f t="shared" si="6"/>
        <v>12000</v>
      </c>
    </row>
    <row r="130" spans="3:7" x14ac:dyDescent="0.35">
      <c r="C130" s="37" t="s">
        <v>146</v>
      </c>
      <c r="D130" s="33">
        <v>10</v>
      </c>
      <c r="E130" s="34">
        <v>100</v>
      </c>
      <c r="F130" s="34">
        <v>12</v>
      </c>
      <c r="G130" s="29">
        <f t="shared" si="6"/>
        <v>12000</v>
      </c>
    </row>
    <row r="131" spans="3:7" x14ac:dyDescent="0.35">
      <c r="C131" s="37" t="s">
        <v>147</v>
      </c>
      <c r="D131" s="33">
        <v>10</v>
      </c>
      <c r="E131" s="34">
        <v>100</v>
      </c>
      <c r="F131" s="34">
        <v>12</v>
      </c>
      <c r="G131" s="29">
        <f t="shared" si="6"/>
        <v>12000</v>
      </c>
    </row>
    <row r="132" spans="3:7" x14ac:dyDescent="0.35">
      <c r="C132" s="37" t="s">
        <v>148</v>
      </c>
      <c r="D132" s="33">
        <v>10</v>
      </c>
      <c r="E132" s="34">
        <v>100</v>
      </c>
      <c r="F132" s="34">
        <v>12</v>
      </c>
      <c r="G132" s="29">
        <f t="shared" si="6"/>
        <v>12000</v>
      </c>
    </row>
    <row r="133" spans="3:7" x14ac:dyDescent="0.35">
      <c r="C133" s="37" t="s">
        <v>149</v>
      </c>
      <c r="D133" s="33">
        <v>10</v>
      </c>
      <c r="E133" s="34">
        <v>100</v>
      </c>
      <c r="F133" s="34">
        <v>12</v>
      </c>
      <c r="G133" s="29">
        <f t="shared" si="6"/>
        <v>12000</v>
      </c>
    </row>
    <row r="134" spans="3:7" x14ac:dyDescent="0.35">
      <c r="C134" s="37" t="s">
        <v>150</v>
      </c>
      <c r="D134" s="33">
        <v>10</v>
      </c>
      <c r="E134" s="34">
        <v>100</v>
      </c>
      <c r="F134" s="34">
        <v>12</v>
      </c>
      <c r="G134" s="29">
        <f t="shared" si="6"/>
        <v>12000</v>
      </c>
    </row>
    <row r="135" spans="3:7" x14ac:dyDescent="0.35">
      <c r="C135" s="37" t="s">
        <v>151</v>
      </c>
      <c r="D135" s="33">
        <v>10</v>
      </c>
      <c r="E135" s="34">
        <v>100</v>
      </c>
      <c r="F135" s="34">
        <v>12</v>
      </c>
      <c r="G135" s="29">
        <f t="shared" si="6"/>
        <v>12000</v>
      </c>
    </row>
    <row r="136" spans="3:7" x14ac:dyDescent="0.35">
      <c r="C136" s="37" t="s">
        <v>152</v>
      </c>
      <c r="D136" s="33">
        <v>10</v>
      </c>
      <c r="E136" s="34">
        <v>100</v>
      </c>
      <c r="F136" s="34">
        <v>12</v>
      </c>
      <c r="G136" s="29">
        <f t="shared" si="6"/>
        <v>12000</v>
      </c>
    </row>
    <row r="137" spans="3:7" x14ac:dyDescent="0.35">
      <c r="C137" s="37" t="s">
        <v>153</v>
      </c>
      <c r="D137" s="33">
        <v>10</v>
      </c>
      <c r="E137" s="34">
        <v>100</v>
      </c>
      <c r="F137" s="34">
        <v>12</v>
      </c>
      <c r="G137" s="29">
        <f t="shared" si="6"/>
        <v>12000</v>
      </c>
    </row>
    <row r="138" spans="3:7" x14ac:dyDescent="0.35">
      <c r="C138" s="37" t="s">
        <v>154</v>
      </c>
      <c r="D138" s="33">
        <v>10</v>
      </c>
      <c r="E138" s="34">
        <v>100</v>
      </c>
      <c r="F138" s="34">
        <v>12</v>
      </c>
      <c r="G138" s="29">
        <f t="shared" si="6"/>
        <v>12000</v>
      </c>
    </row>
    <row r="139" spans="3:7" x14ac:dyDescent="0.35">
      <c r="C139" s="37" t="s">
        <v>155</v>
      </c>
      <c r="D139" s="33">
        <v>150</v>
      </c>
      <c r="E139" s="34">
        <v>5</v>
      </c>
      <c r="F139" s="34">
        <v>12</v>
      </c>
      <c r="G139" s="29">
        <f t="shared" si="6"/>
        <v>9000</v>
      </c>
    </row>
    <row r="140" spans="3:7" x14ac:dyDescent="0.35">
      <c r="C140" s="37" t="s">
        <v>156</v>
      </c>
      <c r="D140" s="33">
        <v>1</v>
      </c>
      <c r="E140" s="34">
        <v>1</v>
      </c>
      <c r="F140" s="34">
        <v>1</v>
      </c>
      <c r="G140" s="29">
        <f t="shared" si="6"/>
        <v>1</v>
      </c>
    </row>
    <row r="141" spans="3:7" x14ac:dyDescent="0.35">
      <c r="C141" s="37" t="s">
        <v>157</v>
      </c>
      <c r="D141" s="33">
        <v>30</v>
      </c>
      <c r="E141" s="34">
        <v>400</v>
      </c>
      <c r="F141" s="34">
        <v>1</v>
      </c>
      <c r="G141" s="29">
        <f t="shared" si="6"/>
        <v>12000</v>
      </c>
    </row>
    <row r="142" spans="3:7" x14ac:dyDescent="0.35">
      <c r="C142" s="37" t="s">
        <v>158</v>
      </c>
      <c r="D142" s="33">
        <v>8</v>
      </c>
      <c r="E142" s="34">
        <v>1500</v>
      </c>
      <c r="F142" s="34">
        <v>1</v>
      </c>
      <c r="G142" s="29">
        <f t="shared" si="6"/>
        <v>12000</v>
      </c>
    </row>
    <row r="143" spans="3:7" x14ac:dyDescent="0.35">
      <c r="C143" s="37" t="s">
        <v>159</v>
      </c>
      <c r="D143" s="33">
        <v>20</v>
      </c>
      <c r="E143" s="34">
        <v>1500</v>
      </c>
      <c r="F143" s="34">
        <v>2</v>
      </c>
      <c r="G143" s="29">
        <f t="shared" si="6"/>
        <v>60000</v>
      </c>
    </row>
    <row r="144" spans="3:7" x14ac:dyDescent="0.35">
      <c r="C144" s="37" t="s">
        <v>160</v>
      </c>
      <c r="D144" s="33">
        <v>4</v>
      </c>
      <c r="E144" s="34">
        <v>750</v>
      </c>
      <c r="F144" s="34">
        <v>1</v>
      </c>
      <c r="G144" s="29">
        <f t="shared" si="6"/>
        <v>3000</v>
      </c>
    </row>
    <row r="145" spans="3:7" x14ac:dyDescent="0.35">
      <c r="C145" s="37" t="s">
        <v>279</v>
      </c>
      <c r="D145" s="33">
        <v>10</v>
      </c>
      <c r="E145" s="34">
        <v>350</v>
      </c>
      <c r="F145" s="34">
        <v>4</v>
      </c>
      <c r="G145" s="29">
        <f t="shared" si="6"/>
        <v>14000</v>
      </c>
    </row>
    <row r="146" spans="3:7" x14ac:dyDescent="0.35">
      <c r="C146" s="37" t="s">
        <v>161</v>
      </c>
      <c r="D146" s="33">
        <v>4</v>
      </c>
      <c r="E146" s="34">
        <v>890</v>
      </c>
      <c r="F146" s="34">
        <v>1</v>
      </c>
      <c r="G146" s="29">
        <f t="shared" si="6"/>
        <v>3560</v>
      </c>
    </row>
    <row r="147" spans="3:7" x14ac:dyDescent="0.35">
      <c r="C147" s="37" t="s">
        <v>162</v>
      </c>
      <c r="D147" s="33">
        <v>12</v>
      </c>
      <c r="E147" s="34">
        <v>23</v>
      </c>
      <c r="F147" s="34">
        <v>12</v>
      </c>
      <c r="G147" s="29">
        <f t="shared" si="6"/>
        <v>3312</v>
      </c>
    </row>
    <row r="148" spans="3:7" ht="29" x14ac:dyDescent="0.35">
      <c r="C148" s="37" t="s">
        <v>163</v>
      </c>
      <c r="D148" s="33">
        <v>4</v>
      </c>
      <c r="E148" s="34">
        <v>3600</v>
      </c>
      <c r="F148" s="34">
        <v>1</v>
      </c>
      <c r="G148" s="29">
        <f t="shared" si="6"/>
        <v>14400</v>
      </c>
    </row>
    <row r="149" spans="3:7" x14ac:dyDescent="0.35">
      <c r="C149" s="37" t="s">
        <v>164</v>
      </c>
      <c r="D149" s="33">
        <v>8</v>
      </c>
      <c r="E149" s="34">
        <v>740</v>
      </c>
      <c r="F149" s="34">
        <v>2</v>
      </c>
      <c r="G149" s="29">
        <f t="shared" si="6"/>
        <v>11840</v>
      </c>
    </row>
    <row r="150" spans="3:7" x14ac:dyDescent="0.35">
      <c r="C150" s="37" t="s">
        <v>165</v>
      </c>
      <c r="D150" s="33">
        <v>1</v>
      </c>
      <c r="E150" s="34">
        <v>700</v>
      </c>
      <c r="F150" s="34">
        <v>1</v>
      </c>
      <c r="G150" s="29">
        <f t="shared" si="6"/>
        <v>700</v>
      </c>
    </row>
    <row r="151" spans="3:7" x14ac:dyDescent="0.35">
      <c r="C151" s="37" t="s">
        <v>166</v>
      </c>
      <c r="D151" s="33">
        <v>1</v>
      </c>
      <c r="E151" s="34">
        <v>1</v>
      </c>
      <c r="F151" s="34">
        <v>1</v>
      </c>
      <c r="G151" s="29">
        <f t="shared" si="6"/>
        <v>1</v>
      </c>
    </row>
    <row r="152" spans="3:7" ht="29" x14ac:dyDescent="0.35">
      <c r="C152" s="37" t="s">
        <v>167</v>
      </c>
      <c r="D152" s="33">
        <v>1</v>
      </c>
      <c r="E152" s="34">
        <v>1</v>
      </c>
      <c r="F152" s="34">
        <v>1</v>
      </c>
      <c r="G152" s="29">
        <f t="shared" si="6"/>
        <v>1</v>
      </c>
    </row>
    <row r="153" spans="3:7" x14ac:dyDescent="0.35">
      <c r="C153" s="37" t="s">
        <v>168</v>
      </c>
      <c r="D153" s="33">
        <v>1</v>
      </c>
      <c r="E153" s="34">
        <v>1</v>
      </c>
      <c r="F153" s="34">
        <v>1</v>
      </c>
      <c r="G153" s="29">
        <f t="shared" si="6"/>
        <v>1</v>
      </c>
    </row>
    <row r="154" spans="3:7" x14ac:dyDescent="0.35">
      <c r="C154" s="37" t="s">
        <v>169</v>
      </c>
      <c r="D154" s="33">
        <v>6</v>
      </c>
      <c r="E154" s="34">
        <v>600</v>
      </c>
      <c r="F154" s="34">
        <v>2</v>
      </c>
      <c r="G154" s="29">
        <f t="shared" si="6"/>
        <v>7200</v>
      </c>
    </row>
    <row r="155" spans="3:7" ht="29" x14ac:dyDescent="0.35">
      <c r="C155" s="37" t="s">
        <v>170</v>
      </c>
      <c r="D155" s="33">
        <v>4</v>
      </c>
      <c r="E155" s="34">
        <v>200</v>
      </c>
      <c r="F155" s="34">
        <v>3</v>
      </c>
      <c r="G155" s="29">
        <f t="shared" si="6"/>
        <v>2400</v>
      </c>
    </row>
    <row r="156" spans="3:7" x14ac:dyDescent="0.35">
      <c r="C156" s="37" t="s">
        <v>171</v>
      </c>
      <c r="D156" s="33">
        <v>1</v>
      </c>
      <c r="E156" s="34">
        <v>1</v>
      </c>
      <c r="F156" s="34">
        <v>1</v>
      </c>
      <c r="G156" s="29">
        <f t="shared" si="6"/>
        <v>1</v>
      </c>
    </row>
    <row r="157" spans="3:7" ht="29" x14ac:dyDescent="0.35">
      <c r="C157" s="37" t="s">
        <v>172</v>
      </c>
      <c r="D157" s="33">
        <v>8</v>
      </c>
      <c r="E157" s="34">
        <v>65</v>
      </c>
      <c r="F157" s="34">
        <v>12</v>
      </c>
      <c r="G157" s="29">
        <f t="shared" si="6"/>
        <v>6240</v>
      </c>
    </row>
    <row r="158" spans="3:7" ht="29" x14ac:dyDescent="0.35">
      <c r="C158" s="37" t="s">
        <v>173</v>
      </c>
      <c r="D158" s="33">
        <v>10</v>
      </c>
      <c r="E158" s="34">
        <v>22</v>
      </c>
      <c r="F158" s="34">
        <v>12</v>
      </c>
      <c r="G158" s="29">
        <f t="shared" si="6"/>
        <v>2640</v>
      </c>
    </row>
    <row r="159" spans="3:7" ht="58" x14ac:dyDescent="0.35">
      <c r="C159" s="37" t="s">
        <v>174</v>
      </c>
      <c r="D159" s="33">
        <v>4</v>
      </c>
      <c r="E159" s="34">
        <v>1250</v>
      </c>
      <c r="F159" s="34">
        <v>1</v>
      </c>
      <c r="G159" s="29">
        <f t="shared" si="6"/>
        <v>5000</v>
      </c>
    </row>
    <row r="160" spans="3:7" x14ac:dyDescent="0.35">
      <c r="C160" s="37"/>
      <c r="D160" s="33"/>
      <c r="E160" s="34"/>
      <c r="F160" s="34"/>
      <c r="G160" s="29"/>
    </row>
    <row r="161" spans="3:7" ht="18.5" x14ac:dyDescent="0.35">
      <c r="C161" s="39" t="s">
        <v>78</v>
      </c>
      <c r="D161" s="33"/>
      <c r="E161" s="34"/>
      <c r="F161" s="34"/>
      <c r="G161" s="29"/>
    </row>
    <row r="162" spans="3:7" ht="29" x14ac:dyDescent="0.35">
      <c r="C162" s="40" t="s">
        <v>176</v>
      </c>
      <c r="D162" s="41">
        <v>1</v>
      </c>
      <c r="E162" s="42">
        <v>20000</v>
      </c>
      <c r="F162" s="34">
        <v>1</v>
      </c>
      <c r="G162" s="29">
        <f t="shared" ref="G162:G176" si="7">D162*E162*F162</f>
        <v>20000</v>
      </c>
    </row>
    <row r="163" spans="3:7" x14ac:dyDescent="0.35">
      <c r="C163" s="43" t="s">
        <v>177</v>
      </c>
      <c r="D163" s="43">
        <v>1</v>
      </c>
      <c r="E163" s="43">
        <v>1000</v>
      </c>
      <c r="F163" s="34">
        <v>1</v>
      </c>
      <c r="G163" s="29">
        <f t="shared" si="7"/>
        <v>1000</v>
      </c>
    </row>
    <row r="164" spans="3:7" x14ac:dyDescent="0.35">
      <c r="C164" s="43" t="s">
        <v>178</v>
      </c>
      <c r="D164" s="43">
        <v>1</v>
      </c>
      <c r="E164" s="44">
        <v>4500</v>
      </c>
      <c r="F164" s="34">
        <v>1</v>
      </c>
      <c r="G164" s="29">
        <f t="shared" si="7"/>
        <v>4500</v>
      </c>
    </row>
    <row r="165" spans="3:7" x14ac:dyDescent="0.35">
      <c r="C165" s="43" t="s">
        <v>179</v>
      </c>
      <c r="D165" s="43">
        <v>1</v>
      </c>
      <c r="E165" s="44">
        <v>7500</v>
      </c>
      <c r="F165" s="34">
        <v>1</v>
      </c>
      <c r="G165" s="29">
        <f t="shared" si="7"/>
        <v>7500</v>
      </c>
    </row>
    <row r="166" spans="3:7" x14ac:dyDescent="0.35">
      <c r="C166" s="43" t="s">
        <v>180</v>
      </c>
      <c r="D166" s="43">
        <v>1</v>
      </c>
      <c r="E166" s="43">
        <v>2000</v>
      </c>
      <c r="F166" s="34">
        <v>1</v>
      </c>
      <c r="G166" s="29">
        <f t="shared" si="7"/>
        <v>2000</v>
      </c>
    </row>
    <row r="167" spans="3:7" x14ac:dyDescent="0.35">
      <c r="C167" s="43" t="s">
        <v>181</v>
      </c>
      <c r="D167" s="43">
        <v>1</v>
      </c>
      <c r="E167" s="43">
        <v>1500</v>
      </c>
      <c r="F167" s="34">
        <v>1</v>
      </c>
      <c r="G167" s="29">
        <f t="shared" si="7"/>
        <v>1500</v>
      </c>
    </row>
    <row r="168" spans="3:7" x14ac:dyDescent="0.35">
      <c r="C168" s="43" t="s">
        <v>182</v>
      </c>
      <c r="D168" s="43">
        <v>1</v>
      </c>
      <c r="E168" s="43">
        <v>5500</v>
      </c>
      <c r="F168" s="34">
        <v>1</v>
      </c>
      <c r="G168" s="29">
        <f t="shared" si="7"/>
        <v>5500</v>
      </c>
    </row>
    <row r="169" spans="3:7" x14ac:dyDescent="0.35">
      <c r="C169" s="43" t="s">
        <v>183</v>
      </c>
      <c r="D169" s="43">
        <v>2</v>
      </c>
      <c r="E169" s="43">
        <v>7500</v>
      </c>
      <c r="F169" s="34">
        <v>12</v>
      </c>
      <c r="G169" s="29">
        <f t="shared" si="7"/>
        <v>180000</v>
      </c>
    </row>
    <row r="170" spans="3:7" x14ac:dyDescent="0.35">
      <c r="C170" s="43" t="s">
        <v>184</v>
      </c>
      <c r="D170" s="43">
        <v>1</v>
      </c>
      <c r="E170" s="43">
        <v>113099.99999999999</v>
      </c>
      <c r="F170" s="34">
        <v>1</v>
      </c>
      <c r="G170" s="29">
        <f t="shared" si="7"/>
        <v>113099.99999999999</v>
      </c>
    </row>
    <row r="171" spans="3:7" x14ac:dyDescent="0.35">
      <c r="C171" s="43" t="s">
        <v>185</v>
      </c>
      <c r="D171" s="43">
        <v>1</v>
      </c>
      <c r="E171" s="43">
        <v>50000</v>
      </c>
      <c r="F171" s="34">
        <v>1</v>
      </c>
      <c r="G171" s="29">
        <f t="shared" si="7"/>
        <v>50000</v>
      </c>
    </row>
    <row r="172" spans="3:7" x14ac:dyDescent="0.35">
      <c r="C172" s="43" t="s">
        <v>186</v>
      </c>
      <c r="D172" s="43">
        <v>1</v>
      </c>
      <c r="E172" s="43">
        <v>9500</v>
      </c>
      <c r="F172" s="34">
        <v>12</v>
      </c>
      <c r="G172" s="29">
        <f t="shared" si="7"/>
        <v>114000</v>
      </c>
    </row>
    <row r="173" spans="3:7" x14ac:dyDescent="0.35">
      <c r="C173" s="43" t="s">
        <v>187</v>
      </c>
      <c r="D173" s="43">
        <v>20</v>
      </c>
      <c r="E173" s="43">
        <v>350</v>
      </c>
      <c r="F173" s="34">
        <v>1</v>
      </c>
      <c r="G173" s="29">
        <f t="shared" si="7"/>
        <v>7000</v>
      </c>
    </row>
    <row r="174" spans="3:7" x14ac:dyDescent="0.35">
      <c r="C174" s="43" t="s">
        <v>188</v>
      </c>
      <c r="D174" s="43">
        <v>1</v>
      </c>
      <c r="E174" s="43">
        <v>500</v>
      </c>
      <c r="F174" s="34">
        <v>1</v>
      </c>
      <c r="G174" s="29">
        <f t="shared" si="7"/>
        <v>500</v>
      </c>
    </row>
    <row r="175" spans="3:7" x14ac:dyDescent="0.35">
      <c r="C175" s="43" t="s">
        <v>189</v>
      </c>
      <c r="D175" s="43">
        <v>1</v>
      </c>
      <c r="E175" s="43">
        <v>500</v>
      </c>
      <c r="F175" s="34">
        <v>1</v>
      </c>
      <c r="G175" s="29">
        <f t="shared" si="7"/>
        <v>500</v>
      </c>
    </row>
    <row r="176" spans="3:7" x14ac:dyDescent="0.35">
      <c r="C176" s="43" t="s">
        <v>190</v>
      </c>
      <c r="D176" s="43">
        <v>1</v>
      </c>
      <c r="E176" s="43">
        <v>10000</v>
      </c>
      <c r="F176" s="34">
        <v>1</v>
      </c>
      <c r="G176" s="29">
        <f t="shared" si="7"/>
        <v>10000</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C40"/>
  <sheetViews>
    <sheetView topLeftCell="A10" workbookViewId="0">
      <selection activeCell="B13" sqref="B13"/>
    </sheetView>
  </sheetViews>
  <sheetFormatPr baseColWidth="10" defaultRowHeight="14.5" x14ac:dyDescent="0.35"/>
  <cols>
    <col min="2" max="2" width="58.1796875" customWidth="1"/>
  </cols>
  <sheetData>
    <row r="3" spans="2:3" ht="15" customHeight="1" x14ac:dyDescent="0.35">
      <c r="B3" s="11" t="s">
        <v>204</v>
      </c>
      <c r="C3" s="23">
        <v>26</v>
      </c>
    </row>
    <row r="4" spans="2:3" ht="15" customHeight="1" x14ac:dyDescent="0.35">
      <c r="B4" s="67" t="s">
        <v>239</v>
      </c>
      <c r="C4" s="23">
        <v>13</v>
      </c>
    </row>
    <row r="5" spans="2:3" ht="15" customHeight="1" x14ac:dyDescent="0.35">
      <c r="B5" s="61" t="s">
        <v>205</v>
      </c>
      <c r="C5" s="23">
        <v>5</v>
      </c>
    </row>
    <row r="6" spans="2:3" ht="15" customHeight="1" x14ac:dyDescent="0.35">
      <c r="B6" s="67" t="s">
        <v>240</v>
      </c>
      <c r="C6" s="23">
        <v>63</v>
      </c>
    </row>
    <row r="7" spans="2:3" ht="15" customHeight="1" x14ac:dyDescent="0.35">
      <c r="B7" s="61" t="s">
        <v>241</v>
      </c>
      <c r="C7" s="23">
        <v>10</v>
      </c>
    </row>
    <row r="8" spans="2:3" ht="15" customHeight="1" x14ac:dyDescent="0.35">
      <c r="B8" s="68" t="s">
        <v>242</v>
      </c>
      <c r="C8" s="23">
        <v>9</v>
      </c>
    </row>
    <row r="9" spans="2:3" ht="15" customHeight="1" x14ac:dyDescent="0.35">
      <c r="B9" s="68" t="s">
        <v>206</v>
      </c>
      <c r="C9" s="23">
        <v>13</v>
      </c>
    </row>
    <row r="10" spans="2:3" ht="15" customHeight="1" x14ac:dyDescent="0.35">
      <c r="B10" s="68" t="s">
        <v>207</v>
      </c>
      <c r="C10" s="23">
        <v>165</v>
      </c>
    </row>
    <row r="11" spans="2:3" ht="15" customHeight="1" x14ac:dyDescent="0.35">
      <c r="B11" s="68" t="s">
        <v>243</v>
      </c>
      <c r="C11" s="23">
        <v>165</v>
      </c>
    </row>
    <row r="12" spans="2:3" ht="15" customHeight="1" x14ac:dyDescent="0.35">
      <c r="B12" s="68" t="s">
        <v>244</v>
      </c>
      <c r="C12" s="23">
        <v>5</v>
      </c>
    </row>
    <row r="13" spans="2:3" ht="15" customHeight="1" x14ac:dyDescent="0.35">
      <c r="B13" s="68" t="s">
        <v>208</v>
      </c>
      <c r="C13" s="23">
        <v>189</v>
      </c>
    </row>
    <row r="14" spans="2:3" ht="15" customHeight="1" x14ac:dyDescent="0.35">
      <c r="B14" s="68" t="s">
        <v>624</v>
      </c>
      <c r="C14" s="23">
        <v>5</v>
      </c>
    </row>
    <row r="15" spans="2:3" ht="15" customHeight="1" x14ac:dyDescent="0.35">
      <c r="B15" s="68" t="s">
        <v>622</v>
      </c>
      <c r="C15" s="23">
        <v>9</v>
      </c>
    </row>
    <row r="16" spans="2:3" ht="15" customHeight="1" x14ac:dyDescent="0.35">
      <c r="B16" s="68" t="s">
        <v>623</v>
      </c>
      <c r="C16" s="23">
        <v>9</v>
      </c>
    </row>
    <row r="17" spans="2:3" ht="15" customHeight="1" x14ac:dyDescent="0.35">
      <c r="B17" s="68" t="s">
        <v>209</v>
      </c>
      <c r="C17" s="23">
        <v>24</v>
      </c>
    </row>
    <row r="18" spans="2:3" ht="15" customHeight="1" x14ac:dyDescent="0.35">
      <c r="B18" s="68" t="s">
        <v>210</v>
      </c>
      <c r="C18" s="23">
        <v>54</v>
      </c>
    </row>
    <row r="19" spans="2:3" ht="15" customHeight="1" x14ac:dyDescent="0.35">
      <c r="B19" s="68" t="s">
        <v>232</v>
      </c>
      <c r="C19" s="23">
        <v>26</v>
      </c>
    </row>
    <row r="20" spans="2:3" ht="15" customHeight="1" x14ac:dyDescent="0.35">
      <c r="B20" s="69" t="s">
        <v>211</v>
      </c>
      <c r="C20" s="23">
        <v>91</v>
      </c>
    </row>
    <row r="21" spans="2:3" ht="15" customHeight="1" x14ac:dyDescent="0.35">
      <c r="B21" s="69" t="s">
        <v>212</v>
      </c>
      <c r="C21" s="23">
        <v>34</v>
      </c>
    </row>
    <row r="22" spans="2:3" ht="15" customHeight="1" x14ac:dyDescent="0.35">
      <c r="B22" s="69" t="s">
        <v>213</v>
      </c>
      <c r="C22" s="23">
        <v>14</v>
      </c>
    </row>
    <row r="23" spans="2:3" ht="15" customHeight="1" x14ac:dyDescent="0.35">
      <c r="B23" s="69" t="s">
        <v>214</v>
      </c>
      <c r="C23" s="23">
        <v>39</v>
      </c>
    </row>
    <row r="24" spans="2:3" ht="15" customHeight="1" x14ac:dyDescent="0.35">
      <c r="B24" s="69" t="s">
        <v>215</v>
      </c>
      <c r="C24" s="23">
        <v>22</v>
      </c>
    </row>
    <row r="25" spans="2:3" ht="15" customHeight="1" x14ac:dyDescent="0.35">
      <c r="B25" s="69" t="s">
        <v>216</v>
      </c>
      <c r="C25" s="23">
        <v>7</v>
      </c>
    </row>
    <row r="26" spans="2:3" ht="15" customHeight="1" x14ac:dyDescent="0.35">
      <c r="B26" s="69" t="s">
        <v>217</v>
      </c>
      <c r="C26" s="23">
        <v>4</v>
      </c>
    </row>
    <row r="27" spans="2:3" ht="15" customHeight="1" x14ac:dyDescent="0.35">
      <c r="B27" s="69" t="s">
        <v>218</v>
      </c>
      <c r="C27" s="23">
        <v>32</v>
      </c>
    </row>
    <row r="28" spans="2:3" ht="15" customHeight="1" x14ac:dyDescent="0.35">
      <c r="B28" s="69" t="s">
        <v>219</v>
      </c>
      <c r="C28" s="23">
        <v>5</v>
      </c>
    </row>
    <row r="29" spans="2:3" ht="15" customHeight="1" x14ac:dyDescent="0.35">
      <c r="B29" s="69" t="s">
        <v>220</v>
      </c>
      <c r="C29" s="23">
        <v>2</v>
      </c>
    </row>
    <row r="30" spans="2:3" ht="15" customHeight="1" x14ac:dyDescent="0.35">
      <c r="B30" s="11" t="s">
        <v>221</v>
      </c>
      <c r="C30" s="23">
        <v>25</v>
      </c>
    </row>
    <row r="31" spans="2:3" ht="15" customHeight="1" x14ac:dyDescent="0.35">
      <c r="B31" s="11" t="s">
        <v>222</v>
      </c>
      <c r="C31" s="23">
        <v>50</v>
      </c>
    </row>
    <row r="32" spans="2:3" ht="15" customHeight="1" x14ac:dyDescent="0.35">
      <c r="B32" s="11" t="s">
        <v>223</v>
      </c>
      <c r="C32" s="23">
        <v>17</v>
      </c>
    </row>
    <row r="33" spans="2:3" ht="15" customHeight="1" x14ac:dyDescent="0.35">
      <c r="B33" s="11" t="s">
        <v>224</v>
      </c>
      <c r="C33" s="23">
        <v>48</v>
      </c>
    </row>
    <row r="34" spans="2:3" ht="15" customHeight="1" x14ac:dyDescent="0.35">
      <c r="B34" s="11" t="s">
        <v>225</v>
      </c>
      <c r="C34" s="23">
        <v>24</v>
      </c>
    </row>
    <row r="35" spans="2:3" ht="15" customHeight="1" x14ac:dyDescent="0.35">
      <c r="B35" s="11" t="s">
        <v>226</v>
      </c>
      <c r="C35" s="23">
        <v>157</v>
      </c>
    </row>
    <row r="36" spans="2:3" ht="15" customHeight="1" x14ac:dyDescent="0.35">
      <c r="B36" s="11" t="s">
        <v>227</v>
      </c>
      <c r="C36" s="23">
        <v>41</v>
      </c>
    </row>
    <row r="37" spans="2:3" ht="15" customHeight="1" x14ac:dyDescent="0.35">
      <c r="B37" s="11" t="s">
        <v>228</v>
      </c>
      <c r="C37" s="23">
        <v>36</v>
      </c>
    </row>
    <row r="38" spans="2:3" ht="15" customHeight="1" x14ac:dyDescent="0.35">
      <c r="B38" s="11" t="s">
        <v>229</v>
      </c>
      <c r="C38" s="23">
        <v>18</v>
      </c>
    </row>
    <row r="39" spans="2:3" ht="15" customHeight="1" x14ac:dyDescent="0.35">
      <c r="B39" s="11" t="s">
        <v>230</v>
      </c>
      <c r="C39" s="23">
        <v>61</v>
      </c>
    </row>
    <row r="40" spans="2:3" ht="15" customHeight="1" x14ac:dyDescent="0.35">
      <c r="B40" s="11" t="s">
        <v>231</v>
      </c>
      <c r="C40" s="23">
        <v>25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9"/>
  <sheetViews>
    <sheetView showGridLines="0" topLeftCell="C3" zoomScaleNormal="100" workbookViewId="0">
      <selection activeCell="AB10" sqref="AB10"/>
    </sheetView>
  </sheetViews>
  <sheetFormatPr baseColWidth="10" defaultColWidth="11.453125" defaultRowHeight="12.5" x14ac:dyDescent="0.25"/>
  <cols>
    <col min="1" max="1" width="19" style="89" customWidth="1"/>
    <col min="2" max="2" width="29.1796875" style="89" bestFit="1" customWidth="1"/>
    <col min="3" max="3" width="18.81640625" style="89" customWidth="1"/>
    <col min="4" max="4" width="30.26953125" style="89" customWidth="1"/>
    <col min="5" max="5" width="7" style="89" bestFit="1" customWidth="1"/>
    <col min="6" max="7" width="5.81640625" style="90" bestFit="1" customWidth="1"/>
    <col min="8" max="8" width="1.7265625" style="90" customWidth="1"/>
    <col min="9" max="13" width="5.81640625" style="90" bestFit="1" customWidth="1"/>
    <col min="14" max="16" width="5.7265625" style="90" customWidth="1"/>
    <col min="17" max="18" width="5.81640625" style="90" bestFit="1" customWidth="1"/>
    <col min="19" max="19" width="5.7265625" style="90" customWidth="1"/>
    <col min="20" max="20" width="5.81640625" style="90" bestFit="1" customWidth="1"/>
    <col min="21" max="21" width="1.7265625" style="90" customWidth="1"/>
    <col min="22" max="22" width="5.81640625" style="90" bestFit="1" customWidth="1"/>
    <col min="23" max="23" width="5.7265625" style="90" bestFit="1" customWidth="1"/>
    <col min="24" max="27" width="5.7265625" style="90" customWidth="1"/>
    <col min="28" max="28" width="5.7265625" style="90" bestFit="1" customWidth="1"/>
    <col min="29" max="254" width="11.453125" style="89" customWidth="1"/>
    <col min="255" max="255" width="25.54296875" style="89" customWidth="1"/>
    <col min="256" max="256" width="11.453125" style="89"/>
    <col min="257" max="257" width="19" style="89" customWidth="1"/>
    <col min="258" max="258" width="29.1796875" style="89" bestFit="1" customWidth="1"/>
    <col min="259" max="259" width="18.81640625" style="89" customWidth="1"/>
    <col min="260" max="260" width="30.26953125" style="89" customWidth="1"/>
    <col min="261" max="261" width="7" style="89" bestFit="1" customWidth="1"/>
    <col min="262" max="263" width="5.81640625" style="89" bestFit="1" customWidth="1"/>
    <col min="264" max="264" width="1.7265625" style="89" customWidth="1"/>
    <col min="265" max="269" width="5.81640625" style="89" bestFit="1" customWidth="1"/>
    <col min="270" max="272" width="5.7265625" style="89" customWidth="1"/>
    <col min="273" max="274" width="5.81640625" style="89" bestFit="1" customWidth="1"/>
    <col min="275" max="275" width="5.7265625" style="89" customWidth="1"/>
    <col min="276" max="276" width="5.81640625" style="89" bestFit="1" customWidth="1"/>
    <col min="277" max="277" width="1.7265625" style="89" customWidth="1"/>
    <col min="278" max="278" width="5.81640625" style="89" bestFit="1" customWidth="1"/>
    <col min="279" max="279" width="5.7265625" style="89" bestFit="1" customWidth="1"/>
    <col min="280" max="283" width="5.7265625" style="89" customWidth="1"/>
    <col min="284" max="284" width="5.7265625" style="89" bestFit="1" customWidth="1"/>
    <col min="285" max="510" width="11.453125" style="89" customWidth="1"/>
    <col min="511" max="511" width="25.54296875" style="89" customWidth="1"/>
    <col min="512" max="512" width="11.453125" style="89"/>
    <col min="513" max="513" width="19" style="89" customWidth="1"/>
    <col min="514" max="514" width="29.1796875" style="89" bestFit="1" customWidth="1"/>
    <col min="515" max="515" width="18.81640625" style="89" customWidth="1"/>
    <col min="516" max="516" width="30.26953125" style="89" customWidth="1"/>
    <col min="517" max="517" width="7" style="89" bestFit="1" customWidth="1"/>
    <col min="518" max="519" width="5.81640625" style="89" bestFit="1" customWidth="1"/>
    <col min="520" max="520" width="1.7265625" style="89" customWidth="1"/>
    <col min="521" max="525" width="5.81640625" style="89" bestFit="1" customWidth="1"/>
    <col min="526" max="528" width="5.7265625" style="89" customWidth="1"/>
    <col min="529" max="530" width="5.81640625" style="89" bestFit="1" customWidth="1"/>
    <col min="531" max="531" width="5.7265625" style="89" customWidth="1"/>
    <col min="532" max="532" width="5.81640625" style="89" bestFit="1" customWidth="1"/>
    <col min="533" max="533" width="1.7265625" style="89" customWidth="1"/>
    <col min="534" max="534" width="5.81640625" style="89" bestFit="1" customWidth="1"/>
    <col min="535" max="535" width="5.7265625" style="89" bestFit="1" customWidth="1"/>
    <col min="536" max="539" width="5.7265625" style="89" customWidth="1"/>
    <col min="540" max="540" width="5.7265625" style="89" bestFit="1" customWidth="1"/>
    <col min="541" max="766" width="11.453125" style="89" customWidth="1"/>
    <col min="767" max="767" width="25.54296875" style="89" customWidth="1"/>
    <col min="768" max="768" width="11.453125" style="89"/>
    <col min="769" max="769" width="19" style="89" customWidth="1"/>
    <col min="770" max="770" width="29.1796875" style="89" bestFit="1" customWidth="1"/>
    <col min="771" max="771" width="18.81640625" style="89" customWidth="1"/>
    <col min="772" max="772" width="30.26953125" style="89" customWidth="1"/>
    <col min="773" max="773" width="7" style="89" bestFit="1" customWidth="1"/>
    <col min="774" max="775" width="5.81640625" style="89" bestFit="1" customWidth="1"/>
    <col min="776" max="776" width="1.7265625" style="89" customWidth="1"/>
    <col min="777" max="781" width="5.81640625" style="89" bestFit="1" customWidth="1"/>
    <col min="782" max="784" width="5.7265625" style="89" customWidth="1"/>
    <col min="785" max="786" width="5.81640625" style="89" bestFit="1" customWidth="1"/>
    <col min="787" max="787" width="5.7265625" style="89" customWidth="1"/>
    <col min="788" max="788" width="5.81640625" style="89" bestFit="1" customWidth="1"/>
    <col min="789" max="789" width="1.7265625" style="89" customWidth="1"/>
    <col min="790" max="790" width="5.81640625" style="89" bestFit="1" customWidth="1"/>
    <col min="791" max="791" width="5.7265625" style="89" bestFit="1" customWidth="1"/>
    <col min="792" max="795" width="5.7265625" style="89" customWidth="1"/>
    <col min="796" max="796" width="5.7265625" style="89" bestFit="1" customWidth="1"/>
    <col min="797" max="1022" width="11.453125" style="89" customWidth="1"/>
    <col min="1023" max="1023" width="25.54296875" style="89" customWidth="1"/>
    <col min="1024" max="1024" width="11.453125" style="89"/>
    <col min="1025" max="1025" width="19" style="89" customWidth="1"/>
    <col min="1026" max="1026" width="29.1796875" style="89" bestFit="1" customWidth="1"/>
    <col min="1027" max="1027" width="18.81640625" style="89" customWidth="1"/>
    <col min="1028" max="1028" width="30.26953125" style="89" customWidth="1"/>
    <col min="1029" max="1029" width="7" style="89" bestFit="1" customWidth="1"/>
    <col min="1030" max="1031" width="5.81640625" style="89" bestFit="1" customWidth="1"/>
    <col min="1032" max="1032" width="1.7265625" style="89" customWidth="1"/>
    <col min="1033" max="1037" width="5.81640625" style="89" bestFit="1" customWidth="1"/>
    <col min="1038" max="1040" width="5.7265625" style="89" customWidth="1"/>
    <col min="1041" max="1042" width="5.81640625" style="89" bestFit="1" customWidth="1"/>
    <col min="1043" max="1043" width="5.7265625" style="89" customWidth="1"/>
    <col min="1044" max="1044" width="5.81640625" style="89" bestFit="1" customWidth="1"/>
    <col min="1045" max="1045" width="1.7265625" style="89" customWidth="1"/>
    <col min="1046" max="1046" width="5.81640625" style="89" bestFit="1" customWidth="1"/>
    <col min="1047" max="1047" width="5.7265625" style="89" bestFit="1" customWidth="1"/>
    <col min="1048" max="1051" width="5.7265625" style="89" customWidth="1"/>
    <col min="1052" max="1052" width="5.7265625" style="89" bestFit="1" customWidth="1"/>
    <col min="1053" max="1278" width="11.453125" style="89" customWidth="1"/>
    <col min="1279" max="1279" width="25.54296875" style="89" customWidth="1"/>
    <col min="1280" max="1280" width="11.453125" style="89"/>
    <col min="1281" max="1281" width="19" style="89" customWidth="1"/>
    <col min="1282" max="1282" width="29.1796875" style="89" bestFit="1" customWidth="1"/>
    <col min="1283" max="1283" width="18.81640625" style="89" customWidth="1"/>
    <col min="1284" max="1284" width="30.26953125" style="89" customWidth="1"/>
    <col min="1285" max="1285" width="7" style="89" bestFit="1" customWidth="1"/>
    <col min="1286" max="1287" width="5.81640625" style="89" bestFit="1" customWidth="1"/>
    <col min="1288" max="1288" width="1.7265625" style="89" customWidth="1"/>
    <col min="1289" max="1293" width="5.81640625" style="89" bestFit="1" customWidth="1"/>
    <col min="1294" max="1296" width="5.7265625" style="89" customWidth="1"/>
    <col min="1297" max="1298" width="5.81640625" style="89" bestFit="1" customWidth="1"/>
    <col min="1299" max="1299" width="5.7265625" style="89" customWidth="1"/>
    <col min="1300" max="1300" width="5.81640625" style="89" bestFit="1" customWidth="1"/>
    <col min="1301" max="1301" width="1.7265625" style="89" customWidth="1"/>
    <col min="1302" max="1302" width="5.81640625" style="89" bestFit="1" customWidth="1"/>
    <col min="1303" max="1303" width="5.7265625" style="89" bestFit="1" customWidth="1"/>
    <col min="1304" max="1307" width="5.7265625" style="89" customWidth="1"/>
    <col min="1308" max="1308" width="5.7265625" style="89" bestFit="1" customWidth="1"/>
    <col min="1309" max="1534" width="11.453125" style="89" customWidth="1"/>
    <col min="1535" max="1535" width="25.54296875" style="89" customWidth="1"/>
    <col min="1536" max="1536" width="11.453125" style="89"/>
    <col min="1537" max="1537" width="19" style="89" customWidth="1"/>
    <col min="1538" max="1538" width="29.1796875" style="89" bestFit="1" customWidth="1"/>
    <col min="1539" max="1539" width="18.81640625" style="89" customWidth="1"/>
    <col min="1540" max="1540" width="30.26953125" style="89" customWidth="1"/>
    <col min="1541" max="1541" width="7" style="89" bestFit="1" customWidth="1"/>
    <col min="1542" max="1543" width="5.81640625" style="89" bestFit="1" customWidth="1"/>
    <col min="1544" max="1544" width="1.7265625" style="89" customWidth="1"/>
    <col min="1545" max="1549" width="5.81640625" style="89" bestFit="1" customWidth="1"/>
    <col min="1550" max="1552" width="5.7265625" style="89" customWidth="1"/>
    <col min="1553" max="1554" width="5.81640625" style="89" bestFit="1" customWidth="1"/>
    <col min="1555" max="1555" width="5.7265625" style="89" customWidth="1"/>
    <col min="1556" max="1556" width="5.81640625" style="89" bestFit="1" customWidth="1"/>
    <col min="1557" max="1557" width="1.7265625" style="89" customWidth="1"/>
    <col min="1558" max="1558" width="5.81640625" style="89" bestFit="1" customWidth="1"/>
    <col min="1559" max="1559" width="5.7265625" style="89" bestFit="1" customWidth="1"/>
    <col min="1560" max="1563" width="5.7265625" style="89" customWidth="1"/>
    <col min="1564" max="1564" width="5.7265625" style="89" bestFit="1" customWidth="1"/>
    <col min="1565" max="1790" width="11.453125" style="89" customWidth="1"/>
    <col min="1791" max="1791" width="25.54296875" style="89" customWidth="1"/>
    <col min="1792" max="1792" width="11.453125" style="89"/>
    <col min="1793" max="1793" width="19" style="89" customWidth="1"/>
    <col min="1794" max="1794" width="29.1796875" style="89" bestFit="1" customWidth="1"/>
    <col min="1795" max="1795" width="18.81640625" style="89" customWidth="1"/>
    <col min="1796" max="1796" width="30.26953125" style="89" customWidth="1"/>
    <col min="1797" max="1797" width="7" style="89" bestFit="1" customWidth="1"/>
    <col min="1798" max="1799" width="5.81640625" style="89" bestFit="1" customWidth="1"/>
    <col min="1800" max="1800" width="1.7265625" style="89" customWidth="1"/>
    <col min="1801" max="1805" width="5.81640625" style="89" bestFit="1" customWidth="1"/>
    <col min="1806" max="1808" width="5.7265625" style="89" customWidth="1"/>
    <col min="1809" max="1810" width="5.81640625" style="89" bestFit="1" customWidth="1"/>
    <col min="1811" max="1811" width="5.7265625" style="89" customWidth="1"/>
    <col min="1812" max="1812" width="5.81640625" style="89" bestFit="1" customWidth="1"/>
    <col min="1813" max="1813" width="1.7265625" style="89" customWidth="1"/>
    <col min="1814" max="1814" width="5.81640625" style="89" bestFit="1" customWidth="1"/>
    <col min="1815" max="1815" width="5.7265625" style="89" bestFit="1" customWidth="1"/>
    <col min="1816" max="1819" width="5.7265625" style="89" customWidth="1"/>
    <col min="1820" max="1820" width="5.7265625" style="89" bestFit="1" customWidth="1"/>
    <col min="1821" max="2046" width="11.453125" style="89" customWidth="1"/>
    <col min="2047" max="2047" width="25.54296875" style="89" customWidth="1"/>
    <col min="2048" max="2048" width="11.453125" style="89"/>
    <col min="2049" max="2049" width="19" style="89" customWidth="1"/>
    <col min="2050" max="2050" width="29.1796875" style="89" bestFit="1" customWidth="1"/>
    <col min="2051" max="2051" width="18.81640625" style="89" customWidth="1"/>
    <col min="2052" max="2052" width="30.26953125" style="89" customWidth="1"/>
    <col min="2053" max="2053" width="7" style="89" bestFit="1" customWidth="1"/>
    <col min="2054" max="2055" width="5.81640625" style="89" bestFit="1" customWidth="1"/>
    <col min="2056" max="2056" width="1.7265625" style="89" customWidth="1"/>
    <col min="2057" max="2061" width="5.81640625" style="89" bestFit="1" customWidth="1"/>
    <col min="2062" max="2064" width="5.7265625" style="89" customWidth="1"/>
    <col min="2065" max="2066" width="5.81640625" style="89" bestFit="1" customWidth="1"/>
    <col min="2067" max="2067" width="5.7265625" style="89" customWidth="1"/>
    <col min="2068" max="2068" width="5.81640625" style="89" bestFit="1" customWidth="1"/>
    <col min="2069" max="2069" width="1.7265625" style="89" customWidth="1"/>
    <col min="2070" max="2070" width="5.81640625" style="89" bestFit="1" customWidth="1"/>
    <col min="2071" max="2071" width="5.7265625" style="89" bestFit="1" customWidth="1"/>
    <col min="2072" max="2075" width="5.7265625" style="89" customWidth="1"/>
    <col min="2076" max="2076" width="5.7265625" style="89" bestFit="1" customWidth="1"/>
    <col min="2077" max="2302" width="11.453125" style="89" customWidth="1"/>
    <col min="2303" max="2303" width="25.54296875" style="89" customWidth="1"/>
    <col min="2304" max="2304" width="11.453125" style="89"/>
    <col min="2305" max="2305" width="19" style="89" customWidth="1"/>
    <col min="2306" max="2306" width="29.1796875" style="89" bestFit="1" customWidth="1"/>
    <col min="2307" max="2307" width="18.81640625" style="89" customWidth="1"/>
    <col min="2308" max="2308" width="30.26953125" style="89" customWidth="1"/>
    <col min="2309" max="2309" width="7" style="89" bestFit="1" customWidth="1"/>
    <col min="2310" max="2311" width="5.81640625" style="89" bestFit="1" customWidth="1"/>
    <col min="2312" max="2312" width="1.7265625" style="89" customWidth="1"/>
    <col min="2313" max="2317" width="5.81640625" style="89" bestFit="1" customWidth="1"/>
    <col min="2318" max="2320" width="5.7265625" style="89" customWidth="1"/>
    <col min="2321" max="2322" width="5.81640625" style="89" bestFit="1" customWidth="1"/>
    <col min="2323" max="2323" width="5.7265625" style="89" customWidth="1"/>
    <col min="2324" max="2324" width="5.81640625" style="89" bestFit="1" customWidth="1"/>
    <col min="2325" max="2325" width="1.7265625" style="89" customWidth="1"/>
    <col min="2326" max="2326" width="5.81640625" style="89" bestFit="1" customWidth="1"/>
    <col min="2327" max="2327" width="5.7265625" style="89" bestFit="1" customWidth="1"/>
    <col min="2328" max="2331" width="5.7265625" style="89" customWidth="1"/>
    <col min="2332" max="2332" width="5.7265625" style="89" bestFit="1" customWidth="1"/>
    <col min="2333" max="2558" width="11.453125" style="89" customWidth="1"/>
    <col min="2559" max="2559" width="25.54296875" style="89" customWidth="1"/>
    <col min="2560" max="2560" width="11.453125" style="89"/>
    <col min="2561" max="2561" width="19" style="89" customWidth="1"/>
    <col min="2562" max="2562" width="29.1796875" style="89" bestFit="1" customWidth="1"/>
    <col min="2563" max="2563" width="18.81640625" style="89" customWidth="1"/>
    <col min="2564" max="2564" width="30.26953125" style="89" customWidth="1"/>
    <col min="2565" max="2565" width="7" style="89" bestFit="1" customWidth="1"/>
    <col min="2566" max="2567" width="5.81640625" style="89" bestFit="1" customWidth="1"/>
    <col min="2568" max="2568" width="1.7265625" style="89" customWidth="1"/>
    <col min="2569" max="2573" width="5.81640625" style="89" bestFit="1" customWidth="1"/>
    <col min="2574" max="2576" width="5.7265625" style="89" customWidth="1"/>
    <col min="2577" max="2578" width="5.81640625" style="89" bestFit="1" customWidth="1"/>
    <col min="2579" max="2579" width="5.7265625" style="89" customWidth="1"/>
    <col min="2580" max="2580" width="5.81640625" style="89" bestFit="1" customWidth="1"/>
    <col min="2581" max="2581" width="1.7265625" style="89" customWidth="1"/>
    <col min="2582" max="2582" width="5.81640625" style="89" bestFit="1" customWidth="1"/>
    <col min="2583" max="2583" width="5.7265625" style="89" bestFit="1" customWidth="1"/>
    <col min="2584" max="2587" width="5.7265625" style="89" customWidth="1"/>
    <col min="2588" max="2588" width="5.7265625" style="89" bestFit="1" customWidth="1"/>
    <col min="2589" max="2814" width="11.453125" style="89" customWidth="1"/>
    <col min="2815" max="2815" width="25.54296875" style="89" customWidth="1"/>
    <col min="2816" max="2816" width="11.453125" style="89"/>
    <col min="2817" max="2817" width="19" style="89" customWidth="1"/>
    <col min="2818" max="2818" width="29.1796875" style="89" bestFit="1" customWidth="1"/>
    <col min="2819" max="2819" width="18.81640625" style="89" customWidth="1"/>
    <col min="2820" max="2820" width="30.26953125" style="89" customWidth="1"/>
    <col min="2821" max="2821" width="7" style="89" bestFit="1" customWidth="1"/>
    <col min="2822" max="2823" width="5.81640625" style="89" bestFit="1" customWidth="1"/>
    <col min="2824" max="2824" width="1.7265625" style="89" customWidth="1"/>
    <col min="2825" max="2829" width="5.81640625" style="89" bestFit="1" customWidth="1"/>
    <col min="2830" max="2832" width="5.7265625" style="89" customWidth="1"/>
    <col min="2833" max="2834" width="5.81640625" style="89" bestFit="1" customWidth="1"/>
    <col min="2835" max="2835" width="5.7265625" style="89" customWidth="1"/>
    <col min="2836" max="2836" width="5.81640625" style="89" bestFit="1" customWidth="1"/>
    <col min="2837" max="2837" width="1.7265625" style="89" customWidth="1"/>
    <col min="2838" max="2838" width="5.81640625" style="89" bestFit="1" customWidth="1"/>
    <col min="2839" max="2839" width="5.7265625" style="89" bestFit="1" customWidth="1"/>
    <col min="2840" max="2843" width="5.7265625" style="89" customWidth="1"/>
    <col min="2844" max="2844" width="5.7265625" style="89" bestFit="1" customWidth="1"/>
    <col min="2845" max="3070" width="11.453125" style="89" customWidth="1"/>
    <col min="3071" max="3071" width="25.54296875" style="89" customWidth="1"/>
    <col min="3072" max="3072" width="11.453125" style="89"/>
    <col min="3073" max="3073" width="19" style="89" customWidth="1"/>
    <col min="3074" max="3074" width="29.1796875" style="89" bestFit="1" customWidth="1"/>
    <col min="3075" max="3075" width="18.81640625" style="89" customWidth="1"/>
    <col min="3076" max="3076" width="30.26953125" style="89" customWidth="1"/>
    <col min="3077" max="3077" width="7" style="89" bestFit="1" customWidth="1"/>
    <col min="3078" max="3079" width="5.81640625" style="89" bestFit="1" customWidth="1"/>
    <col min="3080" max="3080" width="1.7265625" style="89" customWidth="1"/>
    <col min="3081" max="3085" width="5.81640625" style="89" bestFit="1" customWidth="1"/>
    <col min="3086" max="3088" width="5.7265625" style="89" customWidth="1"/>
    <col min="3089" max="3090" width="5.81640625" style="89" bestFit="1" customWidth="1"/>
    <col min="3091" max="3091" width="5.7265625" style="89" customWidth="1"/>
    <col min="3092" max="3092" width="5.81640625" style="89" bestFit="1" customWidth="1"/>
    <col min="3093" max="3093" width="1.7265625" style="89" customWidth="1"/>
    <col min="3094" max="3094" width="5.81640625" style="89" bestFit="1" customWidth="1"/>
    <col min="3095" max="3095" width="5.7265625" style="89" bestFit="1" customWidth="1"/>
    <col min="3096" max="3099" width="5.7265625" style="89" customWidth="1"/>
    <col min="3100" max="3100" width="5.7265625" style="89" bestFit="1" customWidth="1"/>
    <col min="3101" max="3326" width="11.453125" style="89" customWidth="1"/>
    <col min="3327" max="3327" width="25.54296875" style="89" customWidth="1"/>
    <col min="3328" max="3328" width="11.453125" style="89"/>
    <col min="3329" max="3329" width="19" style="89" customWidth="1"/>
    <col min="3330" max="3330" width="29.1796875" style="89" bestFit="1" customWidth="1"/>
    <col min="3331" max="3331" width="18.81640625" style="89" customWidth="1"/>
    <col min="3332" max="3332" width="30.26953125" style="89" customWidth="1"/>
    <col min="3333" max="3333" width="7" style="89" bestFit="1" customWidth="1"/>
    <col min="3334" max="3335" width="5.81640625" style="89" bestFit="1" customWidth="1"/>
    <col min="3336" max="3336" width="1.7265625" style="89" customWidth="1"/>
    <col min="3337" max="3341" width="5.81640625" style="89" bestFit="1" customWidth="1"/>
    <col min="3342" max="3344" width="5.7265625" style="89" customWidth="1"/>
    <col min="3345" max="3346" width="5.81640625" style="89" bestFit="1" customWidth="1"/>
    <col min="3347" max="3347" width="5.7265625" style="89" customWidth="1"/>
    <col min="3348" max="3348" width="5.81640625" style="89" bestFit="1" customWidth="1"/>
    <col min="3349" max="3349" width="1.7265625" style="89" customWidth="1"/>
    <col min="3350" max="3350" width="5.81640625" style="89" bestFit="1" customWidth="1"/>
    <col min="3351" max="3351" width="5.7265625" style="89" bestFit="1" customWidth="1"/>
    <col min="3352" max="3355" width="5.7265625" style="89" customWidth="1"/>
    <col min="3356" max="3356" width="5.7265625" style="89" bestFit="1" customWidth="1"/>
    <col min="3357" max="3582" width="11.453125" style="89" customWidth="1"/>
    <col min="3583" max="3583" width="25.54296875" style="89" customWidth="1"/>
    <col min="3584" max="3584" width="11.453125" style="89"/>
    <col min="3585" max="3585" width="19" style="89" customWidth="1"/>
    <col min="3586" max="3586" width="29.1796875" style="89" bestFit="1" customWidth="1"/>
    <col min="3587" max="3587" width="18.81640625" style="89" customWidth="1"/>
    <col min="3588" max="3588" width="30.26953125" style="89" customWidth="1"/>
    <col min="3589" max="3589" width="7" style="89" bestFit="1" customWidth="1"/>
    <col min="3590" max="3591" width="5.81640625" style="89" bestFit="1" customWidth="1"/>
    <col min="3592" max="3592" width="1.7265625" style="89" customWidth="1"/>
    <col min="3593" max="3597" width="5.81640625" style="89" bestFit="1" customWidth="1"/>
    <col min="3598" max="3600" width="5.7265625" style="89" customWidth="1"/>
    <col min="3601" max="3602" width="5.81640625" style="89" bestFit="1" customWidth="1"/>
    <col min="3603" max="3603" width="5.7265625" style="89" customWidth="1"/>
    <col min="3604" max="3604" width="5.81640625" style="89" bestFit="1" customWidth="1"/>
    <col min="3605" max="3605" width="1.7265625" style="89" customWidth="1"/>
    <col min="3606" max="3606" width="5.81640625" style="89" bestFit="1" customWidth="1"/>
    <col min="3607" max="3607" width="5.7265625" style="89" bestFit="1" customWidth="1"/>
    <col min="3608" max="3611" width="5.7265625" style="89" customWidth="1"/>
    <col min="3612" max="3612" width="5.7265625" style="89" bestFit="1" customWidth="1"/>
    <col min="3613" max="3838" width="11.453125" style="89" customWidth="1"/>
    <col min="3839" max="3839" width="25.54296875" style="89" customWidth="1"/>
    <col min="3840" max="3840" width="11.453125" style="89"/>
    <col min="3841" max="3841" width="19" style="89" customWidth="1"/>
    <col min="3842" max="3842" width="29.1796875" style="89" bestFit="1" customWidth="1"/>
    <col min="3843" max="3843" width="18.81640625" style="89" customWidth="1"/>
    <col min="3844" max="3844" width="30.26953125" style="89" customWidth="1"/>
    <col min="3845" max="3845" width="7" style="89" bestFit="1" customWidth="1"/>
    <col min="3846" max="3847" width="5.81640625" style="89" bestFit="1" customWidth="1"/>
    <col min="3848" max="3848" width="1.7265625" style="89" customWidth="1"/>
    <col min="3849" max="3853" width="5.81640625" style="89" bestFit="1" customWidth="1"/>
    <col min="3854" max="3856" width="5.7265625" style="89" customWidth="1"/>
    <col min="3857" max="3858" width="5.81640625" style="89" bestFit="1" customWidth="1"/>
    <col min="3859" max="3859" width="5.7265625" style="89" customWidth="1"/>
    <col min="3860" max="3860" width="5.81640625" style="89" bestFit="1" customWidth="1"/>
    <col min="3861" max="3861" width="1.7265625" style="89" customWidth="1"/>
    <col min="3862" max="3862" width="5.81640625" style="89" bestFit="1" customWidth="1"/>
    <col min="3863" max="3863" width="5.7265625" style="89" bestFit="1" customWidth="1"/>
    <col min="3864" max="3867" width="5.7265625" style="89" customWidth="1"/>
    <col min="3868" max="3868" width="5.7265625" style="89" bestFit="1" customWidth="1"/>
    <col min="3869" max="4094" width="11.453125" style="89" customWidth="1"/>
    <col min="4095" max="4095" width="25.54296875" style="89" customWidth="1"/>
    <col min="4096" max="4096" width="11.453125" style="89"/>
    <col min="4097" max="4097" width="19" style="89" customWidth="1"/>
    <col min="4098" max="4098" width="29.1796875" style="89" bestFit="1" customWidth="1"/>
    <col min="4099" max="4099" width="18.81640625" style="89" customWidth="1"/>
    <col min="4100" max="4100" width="30.26953125" style="89" customWidth="1"/>
    <col min="4101" max="4101" width="7" style="89" bestFit="1" customWidth="1"/>
    <col min="4102" max="4103" width="5.81640625" style="89" bestFit="1" customWidth="1"/>
    <col min="4104" max="4104" width="1.7265625" style="89" customWidth="1"/>
    <col min="4105" max="4109" width="5.81640625" style="89" bestFit="1" customWidth="1"/>
    <col min="4110" max="4112" width="5.7265625" style="89" customWidth="1"/>
    <col min="4113" max="4114" width="5.81640625" style="89" bestFit="1" customWidth="1"/>
    <col min="4115" max="4115" width="5.7265625" style="89" customWidth="1"/>
    <col min="4116" max="4116" width="5.81640625" style="89" bestFit="1" customWidth="1"/>
    <col min="4117" max="4117" width="1.7265625" style="89" customWidth="1"/>
    <col min="4118" max="4118" width="5.81640625" style="89" bestFit="1" customWidth="1"/>
    <col min="4119" max="4119" width="5.7265625" style="89" bestFit="1" customWidth="1"/>
    <col min="4120" max="4123" width="5.7265625" style="89" customWidth="1"/>
    <col min="4124" max="4124" width="5.7265625" style="89" bestFit="1" customWidth="1"/>
    <col min="4125" max="4350" width="11.453125" style="89" customWidth="1"/>
    <col min="4351" max="4351" width="25.54296875" style="89" customWidth="1"/>
    <col min="4352" max="4352" width="11.453125" style="89"/>
    <col min="4353" max="4353" width="19" style="89" customWidth="1"/>
    <col min="4354" max="4354" width="29.1796875" style="89" bestFit="1" customWidth="1"/>
    <col min="4355" max="4355" width="18.81640625" style="89" customWidth="1"/>
    <col min="4356" max="4356" width="30.26953125" style="89" customWidth="1"/>
    <col min="4357" max="4357" width="7" style="89" bestFit="1" customWidth="1"/>
    <col min="4358" max="4359" width="5.81640625" style="89" bestFit="1" customWidth="1"/>
    <col min="4360" max="4360" width="1.7265625" style="89" customWidth="1"/>
    <col min="4361" max="4365" width="5.81640625" style="89" bestFit="1" customWidth="1"/>
    <col min="4366" max="4368" width="5.7265625" style="89" customWidth="1"/>
    <col min="4369" max="4370" width="5.81640625" style="89" bestFit="1" customWidth="1"/>
    <col min="4371" max="4371" width="5.7265625" style="89" customWidth="1"/>
    <col min="4372" max="4372" width="5.81640625" style="89" bestFit="1" customWidth="1"/>
    <col min="4373" max="4373" width="1.7265625" style="89" customWidth="1"/>
    <col min="4374" max="4374" width="5.81640625" style="89" bestFit="1" customWidth="1"/>
    <col min="4375" max="4375" width="5.7265625" style="89" bestFit="1" customWidth="1"/>
    <col min="4376" max="4379" width="5.7265625" style="89" customWidth="1"/>
    <col min="4380" max="4380" width="5.7265625" style="89" bestFit="1" customWidth="1"/>
    <col min="4381" max="4606" width="11.453125" style="89" customWidth="1"/>
    <col min="4607" max="4607" width="25.54296875" style="89" customWidth="1"/>
    <col min="4608" max="4608" width="11.453125" style="89"/>
    <col min="4609" max="4609" width="19" style="89" customWidth="1"/>
    <col min="4610" max="4610" width="29.1796875" style="89" bestFit="1" customWidth="1"/>
    <col min="4611" max="4611" width="18.81640625" style="89" customWidth="1"/>
    <col min="4612" max="4612" width="30.26953125" style="89" customWidth="1"/>
    <col min="4613" max="4613" width="7" style="89" bestFit="1" customWidth="1"/>
    <col min="4614" max="4615" width="5.81640625" style="89" bestFit="1" customWidth="1"/>
    <col min="4616" max="4616" width="1.7265625" style="89" customWidth="1"/>
    <col min="4617" max="4621" width="5.81640625" style="89" bestFit="1" customWidth="1"/>
    <col min="4622" max="4624" width="5.7265625" style="89" customWidth="1"/>
    <col min="4625" max="4626" width="5.81640625" style="89" bestFit="1" customWidth="1"/>
    <col min="4627" max="4627" width="5.7265625" style="89" customWidth="1"/>
    <col min="4628" max="4628" width="5.81640625" style="89" bestFit="1" customWidth="1"/>
    <col min="4629" max="4629" width="1.7265625" style="89" customWidth="1"/>
    <col min="4630" max="4630" width="5.81640625" style="89" bestFit="1" customWidth="1"/>
    <col min="4631" max="4631" width="5.7265625" style="89" bestFit="1" customWidth="1"/>
    <col min="4632" max="4635" width="5.7265625" style="89" customWidth="1"/>
    <col min="4636" max="4636" width="5.7265625" style="89" bestFit="1" customWidth="1"/>
    <col min="4637" max="4862" width="11.453125" style="89" customWidth="1"/>
    <col min="4863" max="4863" width="25.54296875" style="89" customWidth="1"/>
    <col min="4864" max="4864" width="11.453125" style="89"/>
    <col min="4865" max="4865" width="19" style="89" customWidth="1"/>
    <col min="4866" max="4866" width="29.1796875" style="89" bestFit="1" customWidth="1"/>
    <col min="4867" max="4867" width="18.81640625" style="89" customWidth="1"/>
    <col min="4868" max="4868" width="30.26953125" style="89" customWidth="1"/>
    <col min="4869" max="4869" width="7" style="89" bestFit="1" customWidth="1"/>
    <col min="4870" max="4871" width="5.81640625" style="89" bestFit="1" customWidth="1"/>
    <col min="4872" max="4872" width="1.7265625" style="89" customWidth="1"/>
    <col min="4873" max="4877" width="5.81640625" style="89" bestFit="1" customWidth="1"/>
    <col min="4878" max="4880" width="5.7265625" style="89" customWidth="1"/>
    <col min="4881" max="4882" width="5.81640625" style="89" bestFit="1" customWidth="1"/>
    <col min="4883" max="4883" width="5.7265625" style="89" customWidth="1"/>
    <col min="4884" max="4884" width="5.81640625" style="89" bestFit="1" customWidth="1"/>
    <col min="4885" max="4885" width="1.7265625" style="89" customWidth="1"/>
    <col min="4886" max="4886" width="5.81640625" style="89" bestFit="1" customWidth="1"/>
    <col min="4887" max="4887" width="5.7265625" style="89" bestFit="1" customWidth="1"/>
    <col min="4888" max="4891" width="5.7265625" style="89" customWidth="1"/>
    <col min="4892" max="4892" width="5.7265625" style="89" bestFit="1" customWidth="1"/>
    <col min="4893" max="5118" width="11.453125" style="89" customWidth="1"/>
    <col min="5119" max="5119" width="25.54296875" style="89" customWidth="1"/>
    <col min="5120" max="5120" width="11.453125" style="89"/>
    <col min="5121" max="5121" width="19" style="89" customWidth="1"/>
    <col min="5122" max="5122" width="29.1796875" style="89" bestFit="1" customWidth="1"/>
    <col min="5123" max="5123" width="18.81640625" style="89" customWidth="1"/>
    <col min="5124" max="5124" width="30.26953125" style="89" customWidth="1"/>
    <col min="5125" max="5125" width="7" style="89" bestFit="1" customWidth="1"/>
    <col min="5126" max="5127" width="5.81640625" style="89" bestFit="1" customWidth="1"/>
    <col min="5128" max="5128" width="1.7265625" style="89" customWidth="1"/>
    <col min="5129" max="5133" width="5.81640625" style="89" bestFit="1" customWidth="1"/>
    <col min="5134" max="5136" width="5.7265625" style="89" customWidth="1"/>
    <col min="5137" max="5138" width="5.81640625" style="89" bestFit="1" customWidth="1"/>
    <col min="5139" max="5139" width="5.7265625" style="89" customWidth="1"/>
    <col min="5140" max="5140" width="5.81640625" style="89" bestFit="1" customWidth="1"/>
    <col min="5141" max="5141" width="1.7265625" style="89" customWidth="1"/>
    <col min="5142" max="5142" width="5.81640625" style="89" bestFit="1" customWidth="1"/>
    <col min="5143" max="5143" width="5.7265625" style="89" bestFit="1" customWidth="1"/>
    <col min="5144" max="5147" width="5.7265625" style="89" customWidth="1"/>
    <col min="5148" max="5148" width="5.7265625" style="89" bestFit="1" customWidth="1"/>
    <col min="5149" max="5374" width="11.453125" style="89" customWidth="1"/>
    <col min="5375" max="5375" width="25.54296875" style="89" customWidth="1"/>
    <col min="5376" max="5376" width="11.453125" style="89"/>
    <col min="5377" max="5377" width="19" style="89" customWidth="1"/>
    <col min="5378" max="5378" width="29.1796875" style="89" bestFit="1" customWidth="1"/>
    <col min="5379" max="5379" width="18.81640625" style="89" customWidth="1"/>
    <col min="5380" max="5380" width="30.26953125" style="89" customWidth="1"/>
    <col min="5381" max="5381" width="7" style="89" bestFit="1" customWidth="1"/>
    <col min="5382" max="5383" width="5.81640625" style="89" bestFit="1" customWidth="1"/>
    <col min="5384" max="5384" width="1.7265625" style="89" customWidth="1"/>
    <col min="5385" max="5389" width="5.81640625" style="89" bestFit="1" customWidth="1"/>
    <col min="5390" max="5392" width="5.7265625" style="89" customWidth="1"/>
    <col min="5393" max="5394" width="5.81640625" style="89" bestFit="1" customWidth="1"/>
    <col min="5395" max="5395" width="5.7265625" style="89" customWidth="1"/>
    <col min="5396" max="5396" width="5.81640625" style="89" bestFit="1" customWidth="1"/>
    <col min="5397" max="5397" width="1.7265625" style="89" customWidth="1"/>
    <col min="5398" max="5398" width="5.81640625" style="89" bestFit="1" customWidth="1"/>
    <col min="5399" max="5399" width="5.7265625" style="89" bestFit="1" customWidth="1"/>
    <col min="5400" max="5403" width="5.7265625" style="89" customWidth="1"/>
    <col min="5404" max="5404" width="5.7265625" style="89" bestFit="1" customWidth="1"/>
    <col min="5405" max="5630" width="11.453125" style="89" customWidth="1"/>
    <col min="5631" max="5631" width="25.54296875" style="89" customWidth="1"/>
    <col min="5632" max="5632" width="11.453125" style="89"/>
    <col min="5633" max="5633" width="19" style="89" customWidth="1"/>
    <col min="5634" max="5634" width="29.1796875" style="89" bestFit="1" customWidth="1"/>
    <col min="5635" max="5635" width="18.81640625" style="89" customWidth="1"/>
    <col min="5636" max="5636" width="30.26953125" style="89" customWidth="1"/>
    <col min="5637" max="5637" width="7" style="89" bestFit="1" customWidth="1"/>
    <col min="5638" max="5639" width="5.81640625" style="89" bestFit="1" customWidth="1"/>
    <col min="5640" max="5640" width="1.7265625" style="89" customWidth="1"/>
    <col min="5641" max="5645" width="5.81640625" style="89" bestFit="1" customWidth="1"/>
    <col min="5646" max="5648" width="5.7265625" style="89" customWidth="1"/>
    <col min="5649" max="5650" width="5.81640625" style="89" bestFit="1" customWidth="1"/>
    <col min="5651" max="5651" width="5.7265625" style="89" customWidth="1"/>
    <col min="5652" max="5652" width="5.81640625" style="89" bestFit="1" customWidth="1"/>
    <col min="5653" max="5653" width="1.7265625" style="89" customWidth="1"/>
    <col min="5654" max="5654" width="5.81640625" style="89" bestFit="1" customWidth="1"/>
    <col min="5655" max="5655" width="5.7265625" style="89" bestFit="1" customWidth="1"/>
    <col min="5656" max="5659" width="5.7265625" style="89" customWidth="1"/>
    <col min="5660" max="5660" width="5.7265625" style="89" bestFit="1" customWidth="1"/>
    <col min="5661" max="5886" width="11.453125" style="89" customWidth="1"/>
    <col min="5887" max="5887" width="25.54296875" style="89" customWidth="1"/>
    <col min="5888" max="5888" width="11.453125" style="89"/>
    <col min="5889" max="5889" width="19" style="89" customWidth="1"/>
    <col min="5890" max="5890" width="29.1796875" style="89" bestFit="1" customWidth="1"/>
    <col min="5891" max="5891" width="18.81640625" style="89" customWidth="1"/>
    <col min="5892" max="5892" width="30.26953125" style="89" customWidth="1"/>
    <col min="5893" max="5893" width="7" style="89" bestFit="1" customWidth="1"/>
    <col min="5894" max="5895" width="5.81640625" style="89" bestFit="1" customWidth="1"/>
    <col min="5896" max="5896" width="1.7265625" style="89" customWidth="1"/>
    <col min="5897" max="5901" width="5.81640625" style="89" bestFit="1" customWidth="1"/>
    <col min="5902" max="5904" width="5.7265625" style="89" customWidth="1"/>
    <col min="5905" max="5906" width="5.81640625" style="89" bestFit="1" customWidth="1"/>
    <col min="5907" max="5907" width="5.7265625" style="89" customWidth="1"/>
    <col min="5908" max="5908" width="5.81640625" style="89" bestFit="1" customWidth="1"/>
    <col min="5909" max="5909" width="1.7265625" style="89" customWidth="1"/>
    <col min="5910" max="5910" width="5.81640625" style="89" bestFit="1" customWidth="1"/>
    <col min="5911" max="5911" width="5.7265625" style="89" bestFit="1" customWidth="1"/>
    <col min="5912" max="5915" width="5.7265625" style="89" customWidth="1"/>
    <col min="5916" max="5916" width="5.7265625" style="89" bestFit="1" customWidth="1"/>
    <col min="5917" max="6142" width="11.453125" style="89" customWidth="1"/>
    <col min="6143" max="6143" width="25.54296875" style="89" customWidth="1"/>
    <col min="6144" max="6144" width="11.453125" style="89"/>
    <col min="6145" max="6145" width="19" style="89" customWidth="1"/>
    <col min="6146" max="6146" width="29.1796875" style="89" bestFit="1" customWidth="1"/>
    <col min="6147" max="6147" width="18.81640625" style="89" customWidth="1"/>
    <col min="6148" max="6148" width="30.26953125" style="89" customWidth="1"/>
    <col min="6149" max="6149" width="7" style="89" bestFit="1" customWidth="1"/>
    <col min="6150" max="6151" width="5.81640625" style="89" bestFit="1" customWidth="1"/>
    <col min="6152" max="6152" width="1.7265625" style="89" customWidth="1"/>
    <col min="6153" max="6157" width="5.81640625" style="89" bestFit="1" customWidth="1"/>
    <col min="6158" max="6160" width="5.7265625" style="89" customWidth="1"/>
    <col min="6161" max="6162" width="5.81640625" style="89" bestFit="1" customWidth="1"/>
    <col min="6163" max="6163" width="5.7265625" style="89" customWidth="1"/>
    <col min="6164" max="6164" width="5.81640625" style="89" bestFit="1" customWidth="1"/>
    <col min="6165" max="6165" width="1.7265625" style="89" customWidth="1"/>
    <col min="6166" max="6166" width="5.81640625" style="89" bestFit="1" customWidth="1"/>
    <col min="6167" max="6167" width="5.7265625" style="89" bestFit="1" customWidth="1"/>
    <col min="6168" max="6171" width="5.7265625" style="89" customWidth="1"/>
    <col min="6172" max="6172" width="5.7265625" style="89" bestFit="1" customWidth="1"/>
    <col min="6173" max="6398" width="11.453125" style="89" customWidth="1"/>
    <col min="6399" max="6399" width="25.54296875" style="89" customWidth="1"/>
    <col min="6400" max="6400" width="11.453125" style="89"/>
    <col min="6401" max="6401" width="19" style="89" customWidth="1"/>
    <col min="6402" max="6402" width="29.1796875" style="89" bestFit="1" customWidth="1"/>
    <col min="6403" max="6403" width="18.81640625" style="89" customWidth="1"/>
    <col min="6404" max="6404" width="30.26953125" style="89" customWidth="1"/>
    <col min="6405" max="6405" width="7" style="89" bestFit="1" customWidth="1"/>
    <col min="6406" max="6407" width="5.81640625" style="89" bestFit="1" customWidth="1"/>
    <col min="6408" max="6408" width="1.7265625" style="89" customWidth="1"/>
    <col min="6409" max="6413" width="5.81640625" style="89" bestFit="1" customWidth="1"/>
    <col min="6414" max="6416" width="5.7265625" style="89" customWidth="1"/>
    <col min="6417" max="6418" width="5.81640625" style="89" bestFit="1" customWidth="1"/>
    <col min="6419" max="6419" width="5.7265625" style="89" customWidth="1"/>
    <col min="6420" max="6420" width="5.81640625" style="89" bestFit="1" customWidth="1"/>
    <col min="6421" max="6421" width="1.7265625" style="89" customWidth="1"/>
    <col min="6422" max="6422" width="5.81640625" style="89" bestFit="1" customWidth="1"/>
    <col min="6423" max="6423" width="5.7265625" style="89" bestFit="1" customWidth="1"/>
    <col min="6424" max="6427" width="5.7265625" style="89" customWidth="1"/>
    <col min="6428" max="6428" width="5.7265625" style="89" bestFit="1" customWidth="1"/>
    <col min="6429" max="6654" width="11.453125" style="89" customWidth="1"/>
    <col min="6655" max="6655" width="25.54296875" style="89" customWidth="1"/>
    <col min="6656" max="6656" width="11.453125" style="89"/>
    <col min="6657" max="6657" width="19" style="89" customWidth="1"/>
    <col min="6658" max="6658" width="29.1796875" style="89" bestFit="1" customWidth="1"/>
    <col min="6659" max="6659" width="18.81640625" style="89" customWidth="1"/>
    <col min="6660" max="6660" width="30.26953125" style="89" customWidth="1"/>
    <col min="6661" max="6661" width="7" style="89" bestFit="1" customWidth="1"/>
    <col min="6662" max="6663" width="5.81640625" style="89" bestFit="1" customWidth="1"/>
    <col min="6664" max="6664" width="1.7265625" style="89" customWidth="1"/>
    <col min="6665" max="6669" width="5.81640625" style="89" bestFit="1" customWidth="1"/>
    <col min="6670" max="6672" width="5.7265625" style="89" customWidth="1"/>
    <col min="6673" max="6674" width="5.81640625" style="89" bestFit="1" customWidth="1"/>
    <col min="6675" max="6675" width="5.7265625" style="89" customWidth="1"/>
    <col min="6676" max="6676" width="5.81640625" style="89" bestFit="1" customWidth="1"/>
    <col min="6677" max="6677" width="1.7265625" style="89" customWidth="1"/>
    <col min="6678" max="6678" width="5.81640625" style="89" bestFit="1" customWidth="1"/>
    <col min="6679" max="6679" width="5.7265625" style="89" bestFit="1" customWidth="1"/>
    <col min="6680" max="6683" width="5.7265625" style="89" customWidth="1"/>
    <col min="6684" max="6684" width="5.7265625" style="89" bestFit="1" customWidth="1"/>
    <col min="6685" max="6910" width="11.453125" style="89" customWidth="1"/>
    <col min="6911" max="6911" width="25.54296875" style="89" customWidth="1"/>
    <col min="6912" max="6912" width="11.453125" style="89"/>
    <col min="6913" max="6913" width="19" style="89" customWidth="1"/>
    <col min="6914" max="6914" width="29.1796875" style="89" bestFit="1" customWidth="1"/>
    <col min="6915" max="6915" width="18.81640625" style="89" customWidth="1"/>
    <col min="6916" max="6916" width="30.26953125" style="89" customWidth="1"/>
    <col min="6917" max="6917" width="7" style="89" bestFit="1" customWidth="1"/>
    <col min="6918" max="6919" width="5.81640625" style="89" bestFit="1" customWidth="1"/>
    <col min="6920" max="6920" width="1.7265625" style="89" customWidth="1"/>
    <col min="6921" max="6925" width="5.81640625" style="89" bestFit="1" customWidth="1"/>
    <col min="6926" max="6928" width="5.7265625" style="89" customWidth="1"/>
    <col min="6929" max="6930" width="5.81640625" style="89" bestFit="1" customWidth="1"/>
    <col min="6931" max="6931" width="5.7265625" style="89" customWidth="1"/>
    <col min="6932" max="6932" width="5.81640625" style="89" bestFit="1" customWidth="1"/>
    <col min="6933" max="6933" width="1.7265625" style="89" customWidth="1"/>
    <col min="6934" max="6934" width="5.81640625" style="89" bestFit="1" customWidth="1"/>
    <col min="6935" max="6935" width="5.7265625" style="89" bestFit="1" customWidth="1"/>
    <col min="6936" max="6939" width="5.7265625" style="89" customWidth="1"/>
    <col min="6940" max="6940" width="5.7265625" style="89" bestFit="1" customWidth="1"/>
    <col min="6941" max="7166" width="11.453125" style="89" customWidth="1"/>
    <col min="7167" max="7167" width="25.54296875" style="89" customWidth="1"/>
    <col min="7168" max="7168" width="11.453125" style="89"/>
    <col min="7169" max="7169" width="19" style="89" customWidth="1"/>
    <col min="7170" max="7170" width="29.1796875" style="89" bestFit="1" customWidth="1"/>
    <col min="7171" max="7171" width="18.81640625" style="89" customWidth="1"/>
    <col min="7172" max="7172" width="30.26953125" style="89" customWidth="1"/>
    <col min="7173" max="7173" width="7" style="89" bestFit="1" customWidth="1"/>
    <col min="7174" max="7175" width="5.81640625" style="89" bestFit="1" customWidth="1"/>
    <col min="7176" max="7176" width="1.7265625" style="89" customWidth="1"/>
    <col min="7177" max="7181" width="5.81640625" style="89" bestFit="1" customWidth="1"/>
    <col min="7182" max="7184" width="5.7265625" style="89" customWidth="1"/>
    <col min="7185" max="7186" width="5.81640625" style="89" bestFit="1" customWidth="1"/>
    <col min="7187" max="7187" width="5.7265625" style="89" customWidth="1"/>
    <col min="7188" max="7188" width="5.81640625" style="89" bestFit="1" customWidth="1"/>
    <col min="7189" max="7189" width="1.7265625" style="89" customWidth="1"/>
    <col min="7190" max="7190" width="5.81640625" style="89" bestFit="1" customWidth="1"/>
    <col min="7191" max="7191" width="5.7265625" style="89" bestFit="1" customWidth="1"/>
    <col min="7192" max="7195" width="5.7265625" style="89" customWidth="1"/>
    <col min="7196" max="7196" width="5.7265625" style="89" bestFit="1" customWidth="1"/>
    <col min="7197" max="7422" width="11.453125" style="89" customWidth="1"/>
    <col min="7423" max="7423" width="25.54296875" style="89" customWidth="1"/>
    <col min="7424" max="7424" width="11.453125" style="89"/>
    <col min="7425" max="7425" width="19" style="89" customWidth="1"/>
    <col min="7426" max="7426" width="29.1796875" style="89" bestFit="1" customWidth="1"/>
    <col min="7427" max="7427" width="18.81640625" style="89" customWidth="1"/>
    <col min="7428" max="7428" width="30.26953125" style="89" customWidth="1"/>
    <col min="7429" max="7429" width="7" style="89" bestFit="1" customWidth="1"/>
    <col min="7430" max="7431" width="5.81640625" style="89" bestFit="1" customWidth="1"/>
    <col min="7432" max="7432" width="1.7265625" style="89" customWidth="1"/>
    <col min="7433" max="7437" width="5.81640625" style="89" bestFit="1" customWidth="1"/>
    <col min="7438" max="7440" width="5.7265625" style="89" customWidth="1"/>
    <col min="7441" max="7442" width="5.81640625" style="89" bestFit="1" customWidth="1"/>
    <col min="7443" max="7443" width="5.7265625" style="89" customWidth="1"/>
    <col min="7444" max="7444" width="5.81640625" style="89" bestFit="1" customWidth="1"/>
    <col min="7445" max="7445" width="1.7265625" style="89" customWidth="1"/>
    <col min="7446" max="7446" width="5.81640625" style="89" bestFit="1" customWidth="1"/>
    <col min="7447" max="7447" width="5.7265625" style="89" bestFit="1" customWidth="1"/>
    <col min="7448" max="7451" width="5.7265625" style="89" customWidth="1"/>
    <col min="7452" max="7452" width="5.7265625" style="89" bestFit="1" customWidth="1"/>
    <col min="7453" max="7678" width="11.453125" style="89" customWidth="1"/>
    <col min="7679" max="7679" width="25.54296875" style="89" customWidth="1"/>
    <col min="7680" max="7680" width="11.453125" style="89"/>
    <col min="7681" max="7681" width="19" style="89" customWidth="1"/>
    <col min="7682" max="7682" width="29.1796875" style="89" bestFit="1" customWidth="1"/>
    <col min="7683" max="7683" width="18.81640625" style="89" customWidth="1"/>
    <col min="7684" max="7684" width="30.26953125" style="89" customWidth="1"/>
    <col min="7685" max="7685" width="7" style="89" bestFit="1" customWidth="1"/>
    <col min="7686" max="7687" width="5.81640625" style="89" bestFit="1" customWidth="1"/>
    <col min="7688" max="7688" width="1.7265625" style="89" customWidth="1"/>
    <col min="7689" max="7693" width="5.81640625" style="89" bestFit="1" customWidth="1"/>
    <col min="7694" max="7696" width="5.7265625" style="89" customWidth="1"/>
    <col min="7697" max="7698" width="5.81640625" style="89" bestFit="1" customWidth="1"/>
    <col min="7699" max="7699" width="5.7265625" style="89" customWidth="1"/>
    <col min="7700" max="7700" width="5.81640625" style="89" bestFit="1" customWidth="1"/>
    <col min="7701" max="7701" width="1.7265625" style="89" customWidth="1"/>
    <col min="7702" max="7702" width="5.81640625" style="89" bestFit="1" customWidth="1"/>
    <col min="7703" max="7703" width="5.7265625" style="89" bestFit="1" customWidth="1"/>
    <col min="7704" max="7707" width="5.7265625" style="89" customWidth="1"/>
    <col min="7708" max="7708" width="5.7265625" style="89" bestFit="1" customWidth="1"/>
    <col min="7709" max="7934" width="11.453125" style="89" customWidth="1"/>
    <col min="7935" max="7935" width="25.54296875" style="89" customWidth="1"/>
    <col min="7936" max="7936" width="11.453125" style="89"/>
    <col min="7937" max="7937" width="19" style="89" customWidth="1"/>
    <col min="7938" max="7938" width="29.1796875" style="89" bestFit="1" customWidth="1"/>
    <col min="7939" max="7939" width="18.81640625" style="89" customWidth="1"/>
    <col min="7940" max="7940" width="30.26953125" style="89" customWidth="1"/>
    <col min="7941" max="7941" width="7" style="89" bestFit="1" customWidth="1"/>
    <col min="7942" max="7943" width="5.81640625" style="89" bestFit="1" customWidth="1"/>
    <col min="7944" max="7944" width="1.7265625" style="89" customWidth="1"/>
    <col min="7945" max="7949" width="5.81640625" style="89" bestFit="1" customWidth="1"/>
    <col min="7950" max="7952" width="5.7265625" style="89" customWidth="1"/>
    <col min="7953" max="7954" width="5.81640625" style="89" bestFit="1" customWidth="1"/>
    <col min="7955" max="7955" width="5.7265625" style="89" customWidth="1"/>
    <col min="7956" max="7956" width="5.81640625" style="89" bestFit="1" customWidth="1"/>
    <col min="7957" max="7957" width="1.7265625" style="89" customWidth="1"/>
    <col min="7958" max="7958" width="5.81640625" style="89" bestFit="1" customWidth="1"/>
    <col min="7959" max="7959" width="5.7265625" style="89" bestFit="1" customWidth="1"/>
    <col min="7960" max="7963" width="5.7265625" style="89" customWidth="1"/>
    <col min="7964" max="7964" width="5.7265625" style="89" bestFit="1" customWidth="1"/>
    <col min="7965" max="8190" width="11.453125" style="89" customWidth="1"/>
    <col min="8191" max="8191" width="25.54296875" style="89" customWidth="1"/>
    <col min="8192" max="8192" width="11.453125" style="89"/>
    <col min="8193" max="8193" width="19" style="89" customWidth="1"/>
    <col min="8194" max="8194" width="29.1796875" style="89" bestFit="1" customWidth="1"/>
    <col min="8195" max="8195" width="18.81640625" style="89" customWidth="1"/>
    <col min="8196" max="8196" width="30.26953125" style="89" customWidth="1"/>
    <col min="8197" max="8197" width="7" style="89" bestFit="1" customWidth="1"/>
    <col min="8198" max="8199" width="5.81640625" style="89" bestFit="1" customWidth="1"/>
    <col min="8200" max="8200" width="1.7265625" style="89" customWidth="1"/>
    <col min="8201" max="8205" width="5.81640625" style="89" bestFit="1" customWidth="1"/>
    <col min="8206" max="8208" width="5.7265625" style="89" customWidth="1"/>
    <col min="8209" max="8210" width="5.81640625" style="89" bestFit="1" customWidth="1"/>
    <col min="8211" max="8211" width="5.7265625" style="89" customWidth="1"/>
    <col min="8212" max="8212" width="5.81640625" style="89" bestFit="1" customWidth="1"/>
    <col min="8213" max="8213" width="1.7265625" style="89" customWidth="1"/>
    <col min="8214" max="8214" width="5.81640625" style="89" bestFit="1" customWidth="1"/>
    <col min="8215" max="8215" width="5.7265625" style="89" bestFit="1" customWidth="1"/>
    <col min="8216" max="8219" width="5.7265625" style="89" customWidth="1"/>
    <col min="8220" max="8220" width="5.7265625" style="89" bestFit="1" customWidth="1"/>
    <col min="8221" max="8446" width="11.453125" style="89" customWidth="1"/>
    <col min="8447" max="8447" width="25.54296875" style="89" customWidth="1"/>
    <col min="8448" max="8448" width="11.453125" style="89"/>
    <col min="8449" max="8449" width="19" style="89" customWidth="1"/>
    <col min="8450" max="8450" width="29.1796875" style="89" bestFit="1" customWidth="1"/>
    <col min="8451" max="8451" width="18.81640625" style="89" customWidth="1"/>
    <col min="8452" max="8452" width="30.26953125" style="89" customWidth="1"/>
    <col min="8453" max="8453" width="7" style="89" bestFit="1" customWidth="1"/>
    <col min="8454" max="8455" width="5.81640625" style="89" bestFit="1" customWidth="1"/>
    <col min="8456" max="8456" width="1.7265625" style="89" customWidth="1"/>
    <col min="8457" max="8461" width="5.81640625" style="89" bestFit="1" customWidth="1"/>
    <col min="8462" max="8464" width="5.7265625" style="89" customWidth="1"/>
    <col min="8465" max="8466" width="5.81640625" style="89" bestFit="1" customWidth="1"/>
    <col min="8467" max="8467" width="5.7265625" style="89" customWidth="1"/>
    <col min="8468" max="8468" width="5.81640625" style="89" bestFit="1" customWidth="1"/>
    <col min="8469" max="8469" width="1.7265625" style="89" customWidth="1"/>
    <col min="8470" max="8470" width="5.81640625" style="89" bestFit="1" customWidth="1"/>
    <col min="8471" max="8471" width="5.7265625" style="89" bestFit="1" customWidth="1"/>
    <col min="8472" max="8475" width="5.7265625" style="89" customWidth="1"/>
    <col min="8476" max="8476" width="5.7265625" style="89" bestFit="1" customWidth="1"/>
    <col min="8477" max="8702" width="11.453125" style="89" customWidth="1"/>
    <col min="8703" max="8703" width="25.54296875" style="89" customWidth="1"/>
    <col min="8704" max="8704" width="11.453125" style="89"/>
    <col min="8705" max="8705" width="19" style="89" customWidth="1"/>
    <col min="8706" max="8706" width="29.1796875" style="89" bestFit="1" customWidth="1"/>
    <col min="8707" max="8707" width="18.81640625" style="89" customWidth="1"/>
    <col min="8708" max="8708" width="30.26953125" style="89" customWidth="1"/>
    <col min="8709" max="8709" width="7" style="89" bestFit="1" customWidth="1"/>
    <col min="8710" max="8711" width="5.81640625" style="89" bestFit="1" customWidth="1"/>
    <col min="8712" max="8712" width="1.7265625" style="89" customWidth="1"/>
    <col min="8713" max="8717" width="5.81640625" style="89" bestFit="1" customWidth="1"/>
    <col min="8718" max="8720" width="5.7265625" style="89" customWidth="1"/>
    <col min="8721" max="8722" width="5.81640625" style="89" bestFit="1" customWidth="1"/>
    <col min="8723" max="8723" width="5.7265625" style="89" customWidth="1"/>
    <col min="8724" max="8724" width="5.81640625" style="89" bestFit="1" customWidth="1"/>
    <col min="8725" max="8725" width="1.7265625" style="89" customWidth="1"/>
    <col min="8726" max="8726" width="5.81640625" style="89" bestFit="1" customWidth="1"/>
    <col min="8727" max="8727" width="5.7265625" style="89" bestFit="1" customWidth="1"/>
    <col min="8728" max="8731" width="5.7265625" style="89" customWidth="1"/>
    <col min="8732" max="8732" width="5.7265625" style="89" bestFit="1" customWidth="1"/>
    <col min="8733" max="8958" width="11.453125" style="89" customWidth="1"/>
    <col min="8959" max="8959" width="25.54296875" style="89" customWidth="1"/>
    <col min="8960" max="8960" width="11.453125" style="89"/>
    <col min="8961" max="8961" width="19" style="89" customWidth="1"/>
    <col min="8962" max="8962" width="29.1796875" style="89" bestFit="1" customWidth="1"/>
    <col min="8963" max="8963" width="18.81640625" style="89" customWidth="1"/>
    <col min="8964" max="8964" width="30.26953125" style="89" customWidth="1"/>
    <col min="8965" max="8965" width="7" style="89" bestFit="1" customWidth="1"/>
    <col min="8966" max="8967" width="5.81640625" style="89" bestFit="1" customWidth="1"/>
    <col min="8968" max="8968" width="1.7265625" style="89" customWidth="1"/>
    <col min="8969" max="8973" width="5.81640625" style="89" bestFit="1" customWidth="1"/>
    <col min="8974" max="8976" width="5.7265625" style="89" customWidth="1"/>
    <col min="8977" max="8978" width="5.81640625" style="89" bestFit="1" customWidth="1"/>
    <col min="8979" max="8979" width="5.7265625" style="89" customWidth="1"/>
    <col min="8980" max="8980" width="5.81640625" style="89" bestFit="1" customWidth="1"/>
    <col min="8981" max="8981" width="1.7265625" style="89" customWidth="1"/>
    <col min="8982" max="8982" width="5.81640625" style="89" bestFit="1" customWidth="1"/>
    <col min="8983" max="8983" width="5.7265625" style="89" bestFit="1" customWidth="1"/>
    <col min="8984" max="8987" width="5.7265625" style="89" customWidth="1"/>
    <col min="8988" max="8988" width="5.7265625" style="89" bestFit="1" customWidth="1"/>
    <col min="8989" max="9214" width="11.453125" style="89" customWidth="1"/>
    <col min="9215" max="9215" width="25.54296875" style="89" customWidth="1"/>
    <col min="9216" max="9216" width="11.453125" style="89"/>
    <col min="9217" max="9217" width="19" style="89" customWidth="1"/>
    <col min="9218" max="9218" width="29.1796875" style="89" bestFit="1" customWidth="1"/>
    <col min="9219" max="9219" width="18.81640625" style="89" customWidth="1"/>
    <col min="9220" max="9220" width="30.26953125" style="89" customWidth="1"/>
    <col min="9221" max="9221" width="7" style="89" bestFit="1" customWidth="1"/>
    <col min="9222" max="9223" width="5.81640625" style="89" bestFit="1" customWidth="1"/>
    <col min="9224" max="9224" width="1.7265625" style="89" customWidth="1"/>
    <col min="9225" max="9229" width="5.81640625" style="89" bestFit="1" customWidth="1"/>
    <col min="9230" max="9232" width="5.7265625" style="89" customWidth="1"/>
    <col min="9233" max="9234" width="5.81640625" style="89" bestFit="1" customWidth="1"/>
    <col min="9235" max="9235" width="5.7265625" style="89" customWidth="1"/>
    <col min="9236" max="9236" width="5.81640625" style="89" bestFit="1" customWidth="1"/>
    <col min="9237" max="9237" width="1.7265625" style="89" customWidth="1"/>
    <col min="9238" max="9238" width="5.81640625" style="89" bestFit="1" customWidth="1"/>
    <col min="9239" max="9239" width="5.7265625" style="89" bestFit="1" customWidth="1"/>
    <col min="9240" max="9243" width="5.7265625" style="89" customWidth="1"/>
    <col min="9244" max="9244" width="5.7265625" style="89" bestFit="1" customWidth="1"/>
    <col min="9245" max="9470" width="11.453125" style="89" customWidth="1"/>
    <col min="9471" max="9471" width="25.54296875" style="89" customWidth="1"/>
    <col min="9472" max="9472" width="11.453125" style="89"/>
    <col min="9473" max="9473" width="19" style="89" customWidth="1"/>
    <col min="9474" max="9474" width="29.1796875" style="89" bestFit="1" customWidth="1"/>
    <col min="9475" max="9475" width="18.81640625" style="89" customWidth="1"/>
    <col min="9476" max="9476" width="30.26953125" style="89" customWidth="1"/>
    <col min="9477" max="9477" width="7" style="89" bestFit="1" customWidth="1"/>
    <col min="9478" max="9479" width="5.81640625" style="89" bestFit="1" customWidth="1"/>
    <col min="9480" max="9480" width="1.7265625" style="89" customWidth="1"/>
    <col min="9481" max="9485" width="5.81640625" style="89" bestFit="1" customWidth="1"/>
    <col min="9486" max="9488" width="5.7265625" style="89" customWidth="1"/>
    <col min="9489" max="9490" width="5.81640625" style="89" bestFit="1" customWidth="1"/>
    <col min="9491" max="9491" width="5.7265625" style="89" customWidth="1"/>
    <col min="9492" max="9492" width="5.81640625" style="89" bestFit="1" customWidth="1"/>
    <col min="9493" max="9493" width="1.7265625" style="89" customWidth="1"/>
    <col min="9494" max="9494" width="5.81640625" style="89" bestFit="1" customWidth="1"/>
    <col min="9495" max="9495" width="5.7265625" style="89" bestFit="1" customWidth="1"/>
    <col min="9496" max="9499" width="5.7265625" style="89" customWidth="1"/>
    <col min="9500" max="9500" width="5.7265625" style="89" bestFit="1" customWidth="1"/>
    <col min="9501" max="9726" width="11.453125" style="89" customWidth="1"/>
    <col min="9727" max="9727" width="25.54296875" style="89" customWidth="1"/>
    <col min="9728" max="9728" width="11.453125" style="89"/>
    <col min="9729" max="9729" width="19" style="89" customWidth="1"/>
    <col min="9730" max="9730" width="29.1796875" style="89" bestFit="1" customWidth="1"/>
    <col min="9731" max="9731" width="18.81640625" style="89" customWidth="1"/>
    <col min="9732" max="9732" width="30.26953125" style="89" customWidth="1"/>
    <col min="9733" max="9733" width="7" style="89" bestFit="1" customWidth="1"/>
    <col min="9734" max="9735" width="5.81640625" style="89" bestFit="1" customWidth="1"/>
    <col min="9736" max="9736" width="1.7265625" style="89" customWidth="1"/>
    <col min="9737" max="9741" width="5.81640625" style="89" bestFit="1" customWidth="1"/>
    <col min="9742" max="9744" width="5.7265625" style="89" customWidth="1"/>
    <col min="9745" max="9746" width="5.81640625" style="89" bestFit="1" customWidth="1"/>
    <col min="9747" max="9747" width="5.7265625" style="89" customWidth="1"/>
    <col min="9748" max="9748" width="5.81640625" style="89" bestFit="1" customWidth="1"/>
    <col min="9749" max="9749" width="1.7265625" style="89" customWidth="1"/>
    <col min="9750" max="9750" width="5.81640625" style="89" bestFit="1" customWidth="1"/>
    <col min="9751" max="9751" width="5.7265625" style="89" bestFit="1" customWidth="1"/>
    <col min="9752" max="9755" width="5.7265625" style="89" customWidth="1"/>
    <col min="9756" max="9756" width="5.7265625" style="89" bestFit="1" customWidth="1"/>
    <col min="9757" max="9982" width="11.453125" style="89" customWidth="1"/>
    <col min="9983" max="9983" width="25.54296875" style="89" customWidth="1"/>
    <col min="9984" max="9984" width="11.453125" style="89"/>
    <col min="9985" max="9985" width="19" style="89" customWidth="1"/>
    <col min="9986" max="9986" width="29.1796875" style="89" bestFit="1" customWidth="1"/>
    <col min="9987" max="9987" width="18.81640625" style="89" customWidth="1"/>
    <col min="9988" max="9988" width="30.26953125" style="89" customWidth="1"/>
    <col min="9989" max="9989" width="7" style="89" bestFit="1" customWidth="1"/>
    <col min="9990" max="9991" width="5.81640625" style="89" bestFit="1" customWidth="1"/>
    <col min="9992" max="9992" width="1.7265625" style="89" customWidth="1"/>
    <col min="9993" max="9997" width="5.81640625" style="89" bestFit="1" customWidth="1"/>
    <col min="9998" max="10000" width="5.7265625" style="89" customWidth="1"/>
    <col min="10001" max="10002" width="5.81640625" style="89" bestFit="1" customWidth="1"/>
    <col min="10003" max="10003" width="5.7265625" style="89" customWidth="1"/>
    <col min="10004" max="10004" width="5.81640625" style="89" bestFit="1" customWidth="1"/>
    <col min="10005" max="10005" width="1.7265625" style="89" customWidth="1"/>
    <col min="10006" max="10006" width="5.81640625" style="89" bestFit="1" customWidth="1"/>
    <col min="10007" max="10007" width="5.7265625" style="89" bestFit="1" customWidth="1"/>
    <col min="10008" max="10011" width="5.7265625" style="89" customWidth="1"/>
    <col min="10012" max="10012" width="5.7265625" style="89" bestFit="1" customWidth="1"/>
    <col min="10013" max="10238" width="11.453125" style="89" customWidth="1"/>
    <col min="10239" max="10239" width="25.54296875" style="89" customWidth="1"/>
    <col min="10240" max="10240" width="11.453125" style="89"/>
    <col min="10241" max="10241" width="19" style="89" customWidth="1"/>
    <col min="10242" max="10242" width="29.1796875" style="89" bestFit="1" customWidth="1"/>
    <col min="10243" max="10243" width="18.81640625" style="89" customWidth="1"/>
    <col min="10244" max="10244" width="30.26953125" style="89" customWidth="1"/>
    <col min="10245" max="10245" width="7" style="89" bestFit="1" customWidth="1"/>
    <col min="10246" max="10247" width="5.81640625" style="89" bestFit="1" customWidth="1"/>
    <col min="10248" max="10248" width="1.7265625" style="89" customWidth="1"/>
    <col min="10249" max="10253" width="5.81640625" style="89" bestFit="1" customWidth="1"/>
    <col min="10254" max="10256" width="5.7265625" style="89" customWidth="1"/>
    <col min="10257" max="10258" width="5.81640625" style="89" bestFit="1" customWidth="1"/>
    <col min="10259" max="10259" width="5.7265625" style="89" customWidth="1"/>
    <col min="10260" max="10260" width="5.81640625" style="89" bestFit="1" customWidth="1"/>
    <col min="10261" max="10261" width="1.7265625" style="89" customWidth="1"/>
    <col min="10262" max="10262" width="5.81640625" style="89" bestFit="1" customWidth="1"/>
    <col min="10263" max="10263" width="5.7265625" style="89" bestFit="1" customWidth="1"/>
    <col min="10264" max="10267" width="5.7265625" style="89" customWidth="1"/>
    <col min="10268" max="10268" width="5.7265625" style="89" bestFit="1" customWidth="1"/>
    <col min="10269" max="10494" width="11.453125" style="89" customWidth="1"/>
    <col min="10495" max="10495" width="25.54296875" style="89" customWidth="1"/>
    <col min="10496" max="10496" width="11.453125" style="89"/>
    <col min="10497" max="10497" width="19" style="89" customWidth="1"/>
    <col min="10498" max="10498" width="29.1796875" style="89" bestFit="1" customWidth="1"/>
    <col min="10499" max="10499" width="18.81640625" style="89" customWidth="1"/>
    <col min="10500" max="10500" width="30.26953125" style="89" customWidth="1"/>
    <col min="10501" max="10501" width="7" style="89" bestFit="1" customWidth="1"/>
    <col min="10502" max="10503" width="5.81640625" style="89" bestFit="1" customWidth="1"/>
    <col min="10504" max="10504" width="1.7265625" style="89" customWidth="1"/>
    <col min="10505" max="10509" width="5.81640625" style="89" bestFit="1" customWidth="1"/>
    <col min="10510" max="10512" width="5.7265625" style="89" customWidth="1"/>
    <col min="10513" max="10514" width="5.81640625" style="89" bestFit="1" customWidth="1"/>
    <col min="10515" max="10515" width="5.7265625" style="89" customWidth="1"/>
    <col min="10516" max="10516" width="5.81640625" style="89" bestFit="1" customWidth="1"/>
    <col min="10517" max="10517" width="1.7265625" style="89" customWidth="1"/>
    <col min="10518" max="10518" width="5.81640625" style="89" bestFit="1" customWidth="1"/>
    <col min="10519" max="10519" width="5.7265625" style="89" bestFit="1" customWidth="1"/>
    <col min="10520" max="10523" width="5.7265625" style="89" customWidth="1"/>
    <col min="10524" max="10524" width="5.7265625" style="89" bestFit="1" customWidth="1"/>
    <col min="10525" max="10750" width="11.453125" style="89" customWidth="1"/>
    <col min="10751" max="10751" width="25.54296875" style="89" customWidth="1"/>
    <col min="10752" max="10752" width="11.453125" style="89"/>
    <col min="10753" max="10753" width="19" style="89" customWidth="1"/>
    <col min="10754" max="10754" width="29.1796875" style="89" bestFit="1" customWidth="1"/>
    <col min="10755" max="10755" width="18.81640625" style="89" customWidth="1"/>
    <col min="10756" max="10756" width="30.26953125" style="89" customWidth="1"/>
    <col min="10757" max="10757" width="7" style="89" bestFit="1" customWidth="1"/>
    <col min="10758" max="10759" width="5.81640625" style="89" bestFit="1" customWidth="1"/>
    <col min="10760" max="10760" width="1.7265625" style="89" customWidth="1"/>
    <col min="10761" max="10765" width="5.81640625" style="89" bestFit="1" customWidth="1"/>
    <col min="10766" max="10768" width="5.7265625" style="89" customWidth="1"/>
    <col min="10769" max="10770" width="5.81640625" style="89" bestFit="1" customWidth="1"/>
    <col min="10771" max="10771" width="5.7265625" style="89" customWidth="1"/>
    <col min="10772" max="10772" width="5.81640625" style="89" bestFit="1" customWidth="1"/>
    <col min="10773" max="10773" width="1.7265625" style="89" customWidth="1"/>
    <col min="10774" max="10774" width="5.81640625" style="89" bestFit="1" customWidth="1"/>
    <col min="10775" max="10775" width="5.7265625" style="89" bestFit="1" customWidth="1"/>
    <col min="10776" max="10779" width="5.7265625" style="89" customWidth="1"/>
    <col min="10780" max="10780" width="5.7265625" style="89" bestFit="1" customWidth="1"/>
    <col min="10781" max="11006" width="11.453125" style="89" customWidth="1"/>
    <col min="11007" max="11007" width="25.54296875" style="89" customWidth="1"/>
    <col min="11008" max="11008" width="11.453125" style="89"/>
    <col min="11009" max="11009" width="19" style="89" customWidth="1"/>
    <col min="11010" max="11010" width="29.1796875" style="89" bestFit="1" customWidth="1"/>
    <col min="11011" max="11011" width="18.81640625" style="89" customWidth="1"/>
    <col min="11012" max="11012" width="30.26953125" style="89" customWidth="1"/>
    <col min="11013" max="11013" width="7" style="89" bestFit="1" customWidth="1"/>
    <col min="11014" max="11015" width="5.81640625" style="89" bestFit="1" customWidth="1"/>
    <col min="11016" max="11016" width="1.7265625" style="89" customWidth="1"/>
    <col min="11017" max="11021" width="5.81640625" style="89" bestFit="1" customWidth="1"/>
    <col min="11022" max="11024" width="5.7265625" style="89" customWidth="1"/>
    <col min="11025" max="11026" width="5.81640625" style="89" bestFit="1" customWidth="1"/>
    <col min="11027" max="11027" width="5.7265625" style="89" customWidth="1"/>
    <col min="11028" max="11028" width="5.81640625" style="89" bestFit="1" customWidth="1"/>
    <col min="11029" max="11029" width="1.7265625" style="89" customWidth="1"/>
    <col min="11030" max="11030" width="5.81640625" style="89" bestFit="1" customWidth="1"/>
    <col min="11031" max="11031" width="5.7265625" style="89" bestFit="1" customWidth="1"/>
    <col min="11032" max="11035" width="5.7265625" style="89" customWidth="1"/>
    <col min="11036" max="11036" width="5.7265625" style="89" bestFit="1" customWidth="1"/>
    <col min="11037" max="11262" width="11.453125" style="89" customWidth="1"/>
    <col min="11263" max="11263" width="25.54296875" style="89" customWidth="1"/>
    <col min="11264" max="11264" width="11.453125" style="89"/>
    <col min="11265" max="11265" width="19" style="89" customWidth="1"/>
    <col min="11266" max="11266" width="29.1796875" style="89" bestFit="1" customWidth="1"/>
    <col min="11267" max="11267" width="18.81640625" style="89" customWidth="1"/>
    <col min="11268" max="11268" width="30.26953125" style="89" customWidth="1"/>
    <col min="11269" max="11269" width="7" style="89" bestFit="1" customWidth="1"/>
    <col min="11270" max="11271" width="5.81640625" style="89" bestFit="1" customWidth="1"/>
    <col min="11272" max="11272" width="1.7265625" style="89" customWidth="1"/>
    <col min="11273" max="11277" width="5.81640625" style="89" bestFit="1" customWidth="1"/>
    <col min="11278" max="11280" width="5.7265625" style="89" customWidth="1"/>
    <col min="11281" max="11282" width="5.81640625" style="89" bestFit="1" customWidth="1"/>
    <col min="11283" max="11283" width="5.7265625" style="89" customWidth="1"/>
    <col min="11284" max="11284" width="5.81640625" style="89" bestFit="1" customWidth="1"/>
    <col min="11285" max="11285" width="1.7265625" style="89" customWidth="1"/>
    <col min="11286" max="11286" width="5.81640625" style="89" bestFit="1" customWidth="1"/>
    <col min="11287" max="11287" width="5.7265625" style="89" bestFit="1" customWidth="1"/>
    <col min="11288" max="11291" width="5.7265625" style="89" customWidth="1"/>
    <col min="11292" max="11292" width="5.7265625" style="89" bestFit="1" customWidth="1"/>
    <col min="11293" max="11518" width="11.453125" style="89" customWidth="1"/>
    <col min="11519" max="11519" width="25.54296875" style="89" customWidth="1"/>
    <col min="11520" max="11520" width="11.453125" style="89"/>
    <col min="11521" max="11521" width="19" style="89" customWidth="1"/>
    <col min="11522" max="11522" width="29.1796875" style="89" bestFit="1" customWidth="1"/>
    <col min="11523" max="11523" width="18.81640625" style="89" customWidth="1"/>
    <col min="11524" max="11524" width="30.26953125" style="89" customWidth="1"/>
    <col min="11525" max="11525" width="7" style="89" bestFit="1" customWidth="1"/>
    <col min="11526" max="11527" width="5.81640625" style="89" bestFit="1" customWidth="1"/>
    <col min="11528" max="11528" width="1.7265625" style="89" customWidth="1"/>
    <col min="11529" max="11533" width="5.81640625" style="89" bestFit="1" customWidth="1"/>
    <col min="11534" max="11536" width="5.7265625" style="89" customWidth="1"/>
    <col min="11537" max="11538" width="5.81640625" style="89" bestFit="1" customWidth="1"/>
    <col min="11539" max="11539" width="5.7265625" style="89" customWidth="1"/>
    <col min="11540" max="11540" width="5.81640625" style="89" bestFit="1" customWidth="1"/>
    <col min="11541" max="11541" width="1.7265625" style="89" customWidth="1"/>
    <col min="11542" max="11542" width="5.81640625" style="89" bestFit="1" customWidth="1"/>
    <col min="11543" max="11543" width="5.7265625" style="89" bestFit="1" customWidth="1"/>
    <col min="11544" max="11547" width="5.7265625" style="89" customWidth="1"/>
    <col min="11548" max="11548" width="5.7265625" style="89" bestFit="1" customWidth="1"/>
    <col min="11549" max="11774" width="11.453125" style="89" customWidth="1"/>
    <col min="11775" max="11775" width="25.54296875" style="89" customWidth="1"/>
    <col min="11776" max="11776" width="11.453125" style="89"/>
    <col min="11777" max="11777" width="19" style="89" customWidth="1"/>
    <col min="11778" max="11778" width="29.1796875" style="89" bestFit="1" customWidth="1"/>
    <col min="11779" max="11779" width="18.81640625" style="89" customWidth="1"/>
    <col min="11780" max="11780" width="30.26953125" style="89" customWidth="1"/>
    <col min="11781" max="11781" width="7" style="89" bestFit="1" customWidth="1"/>
    <col min="11782" max="11783" width="5.81640625" style="89" bestFit="1" customWidth="1"/>
    <col min="11784" max="11784" width="1.7265625" style="89" customWidth="1"/>
    <col min="11785" max="11789" width="5.81640625" style="89" bestFit="1" customWidth="1"/>
    <col min="11790" max="11792" width="5.7265625" style="89" customWidth="1"/>
    <col min="11793" max="11794" width="5.81640625" style="89" bestFit="1" customWidth="1"/>
    <col min="11795" max="11795" width="5.7265625" style="89" customWidth="1"/>
    <col min="11796" max="11796" width="5.81640625" style="89" bestFit="1" customWidth="1"/>
    <col min="11797" max="11797" width="1.7265625" style="89" customWidth="1"/>
    <col min="11798" max="11798" width="5.81640625" style="89" bestFit="1" customWidth="1"/>
    <col min="11799" max="11799" width="5.7265625" style="89" bestFit="1" customWidth="1"/>
    <col min="11800" max="11803" width="5.7265625" style="89" customWidth="1"/>
    <col min="11804" max="11804" width="5.7265625" style="89" bestFit="1" customWidth="1"/>
    <col min="11805" max="12030" width="11.453125" style="89" customWidth="1"/>
    <col min="12031" max="12031" width="25.54296875" style="89" customWidth="1"/>
    <col min="12032" max="12032" width="11.453125" style="89"/>
    <col min="12033" max="12033" width="19" style="89" customWidth="1"/>
    <col min="12034" max="12034" width="29.1796875" style="89" bestFit="1" customWidth="1"/>
    <col min="12035" max="12035" width="18.81640625" style="89" customWidth="1"/>
    <col min="12036" max="12036" width="30.26953125" style="89" customWidth="1"/>
    <col min="12037" max="12037" width="7" style="89" bestFit="1" customWidth="1"/>
    <col min="12038" max="12039" width="5.81640625" style="89" bestFit="1" customWidth="1"/>
    <col min="12040" max="12040" width="1.7265625" style="89" customWidth="1"/>
    <col min="12041" max="12045" width="5.81640625" style="89" bestFit="1" customWidth="1"/>
    <col min="12046" max="12048" width="5.7265625" style="89" customWidth="1"/>
    <col min="12049" max="12050" width="5.81640625" style="89" bestFit="1" customWidth="1"/>
    <col min="12051" max="12051" width="5.7265625" style="89" customWidth="1"/>
    <col min="12052" max="12052" width="5.81640625" style="89" bestFit="1" customWidth="1"/>
    <col min="12053" max="12053" width="1.7265625" style="89" customWidth="1"/>
    <col min="12054" max="12054" width="5.81640625" style="89" bestFit="1" customWidth="1"/>
    <col min="12055" max="12055" width="5.7265625" style="89" bestFit="1" customWidth="1"/>
    <col min="12056" max="12059" width="5.7265625" style="89" customWidth="1"/>
    <col min="12060" max="12060" width="5.7265625" style="89" bestFit="1" customWidth="1"/>
    <col min="12061" max="12286" width="11.453125" style="89" customWidth="1"/>
    <col min="12287" max="12287" width="25.54296875" style="89" customWidth="1"/>
    <col min="12288" max="12288" width="11.453125" style="89"/>
    <col min="12289" max="12289" width="19" style="89" customWidth="1"/>
    <col min="12290" max="12290" width="29.1796875" style="89" bestFit="1" customWidth="1"/>
    <col min="12291" max="12291" width="18.81640625" style="89" customWidth="1"/>
    <col min="12292" max="12292" width="30.26953125" style="89" customWidth="1"/>
    <col min="12293" max="12293" width="7" style="89" bestFit="1" customWidth="1"/>
    <col min="12294" max="12295" width="5.81640625" style="89" bestFit="1" customWidth="1"/>
    <col min="12296" max="12296" width="1.7265625" style="89" customWidth="1"/>
    <col min="12297" max="12301" width="5.81640625" style="89" bestFit="1" customWidth="1"/>
    <col min="12302" max="12304" width="5.7265625" style="89" customWidth="1"/>
    <col min="12305" max="12306" width="5.81640625" style="89" bestFit="1" customWidth="1"/>
    <col min="12307" max="12307" width="5.7265625" style="89" customWidth="1"/>
    <col min="12308" max="12308" width="5.81640625" style="89" bestFit="1" customWidth="1"/>
    <col min="12309" max="12309" width="1.7265625" style="89" customWidth="1"/>
    <col min="12310" max="12310" width="5.81640625" style="89" bestFit="1" customWidth="1"/>
    <col min="12311" max="12311" width="5.7265625" style="89" bestFit="1" customWidth="1"/>
    <col min="12312" max="12315" width="5.7265625" style="89" customWidth="1"/>
    <col min="12316" max="12316" width="5.7265625" style="89" bestFit="1" customWidth="1"/>
    <col min="12317" max="12542" width="11.453125" style="89" customWidth="1"/>
    <col min="12543" max="12543" width="25.54296875" style="89" customWidth="1"/>
    <col min="12544" max="12544" width="11.453125" style="89"/>
    <col min="12545" max="12545" width="19" style="89" customWidth="1"/>
    <col min="12546" max="12546" width="29.1796875" style="89" bestFit="1" customWidth="1"/>
    <col min="12547" max="12547" width="18.81640625" style="89" customWidth="1"/>
    <col min="12548" max="12548" width="30.26953125" style="89" customWidth="1"/>
    <col min="12549" max="12549" width="7" style="89" bestFit="1" customWidth="1"/>
    <col min="12550" max="12551" width="5.81640625" style="89" bestFit="1" customWidth="1"/>
    <col min="12552" max="12552" width="1.7265625" style="89" customWidth="1"/>
    <col min="12553" max="12557" width="5.81640625" style="89" bestFit="1" customWidth="1"/>
    <col min="12558" max="12560" width="5.7265625" style="89" customWidth="1"/>
    <col min="12561" max="12562" width="5.81640625" style="89" bestFit="1" customWidth="1"/>
    <col min="12563" max="12563" width="5.7265625" style="89" customWidth="1"/>
    <col min="12564" max="12564" width="5.81640625" style="89" bestFit="1" customWidth="1"/>
    <col min="12565" max="12565" width="1.7265625" style="89" customWidth="1"/>
    <col min="12566" max="12566" width="5.81640625" style="89" bestFit="1" customWidth="1"/>
    <col min="12567" max="12567" width="5.7265625" style="89" bestFit="1" customWidth="1"/>
    <col min="12568" max="12571" width="5.7265625" style="89" customWidth="1"/>
    <col min="12572" max="12572" width="5.7265625" style="89" bestFit="1" customWidth="1"/>
    <col min="12573" max="12798" width="11.453125" style="89" customWidth="1"/>
    <col min="12799" max="12799" width="25.54296875" style="89" customWidth="1"/>
    <col min="12800" max="12800" width="11.453125" style="89"/>
    <col min="12801" max="12801" width="19" style="89" customWidth="1"/>
    <col min="12802" max="12802" width="29.1796875" style="89" bestFit="1" customWidth="1"/>
    <col min="12803" max="12803" width="18.81640625" style="89" customWidth="1"/>
    <col min="12804" max="12804" width="30.26953125" style="89" customWidth="1"/>
    <col min="12805" max="12805" width="7" style="89" bestFit="1" customWidth="1"/>
    <col min="12806" max="12807" width="5.81640625" style="89" bestFit="1" customWidth="1"/>
    <col min="12808" max="12808" width="1.7265625" style="89" customWidth="1"/>
    <col min="12809" max="12813" width="5.81640625" style="89" bestFit="1" customWidth="1"/>
    <col min="12814" max="12816" width="5.7265625" style="89" customWidth="1"/>
    <col min="12817" max="12818" width="5.81640625" style="89" bestFit="1" customWidth="1"/>
    <col min="12819" max="12819" width="5.7265625" style="89" customWidth="1"/>
    <col min="12820" max="12820" width="5.81640625" style="89" bestFit="1" customWidth="1"/>
    <col min="12821" max="12821" width="1.7265625" style="89" customWidth="1"/>
    <col min="12822" max="12822" width="5.81640625" style="89" bestFit="1" customWidth="1"/>
    <col min="12823" max="12823" width="5.7265625" style="89" bestFit="1" customWidth="1"/>
    <col min="12824" max="12827" width="5.7265625" style="89" customWidth="1"/>
    <col min="12828" max="12828" width="5.7265625" style="89" bestFit="1" customWidth="1"/>
    <col min="12829" max="13054" width="11.453125" style="89" customWidth="1"/>
    <col min="13055" max="13055" width="25.54296875" style="89" customWidth="1"/>
    <col min="13056" max="13056" width="11.453125" style="89"/>
    <col min="13057" max="13057" width="19" style="89" customWidth="1"/>
    <col min="13058" max="13058" width="29.1796875" style="89" bestFit="1" customWidth="1"/>
    <col min="13059" max="13059" width="18.81640625" style="89" customWidth="1"/>
    <col min="13060" max="13060" width="30.26953125" style="89" customWidth="1"/>
    <col min="13061" max="13061" width="7" style="89" bestFit="1" customWidth="1"/>
    <col min="13062" max="13063" width="5.81640625" style="89" bestFit="1" customWidth="1"/>
    <col min="13064" max="13064" width="1.7265625" style="89" customWidth="1"/>
    <col min="13065" max="13069" width="5.81640625" style="89" bestFit="1" customWidth="1"/>
    <col min="13070" max="13072" width="5.7265625" style="89" customWidth="1"/>
    <col min="13073" max="13074" width="5.81640625" style="89" bestFit="1" customWidth="1"/>
    <col min="13075" max="13075" width="5.7265625" style="89" customWidth="1"/>
    <col min="13076" max="13076" width="5.81640625" style="89" bestFit="1" customWidth="1"/>
    <col min="13077" max="13077" width="1.7265625" style="89" customWidth="1"/>
    <col min="13078" max="13078" width="5.81640625" style="89" bestFit="1" customWidth="1"/>
    <col min="13079" max="13079" width="5.7265625" style="89" bestFit="1" customWidth="1"/>
    <col min="13080" max="13083" width="5.7265625" style="89" customWidth="1"/>
    <col min="13084" max="13084" width="5.7265625" style="89" bestFit="1" customWidth="1"/>
    <col min="13085" max="13310" width="11.453125" style="89" customWidth="1"/>
    <col min="13311" max="13311" width="25.54296875" style="89" customWidth="1"/>
    <col min="13312" max="13312" width="11.453125" style="89"/>
    <col min="13313" max="13313" width="19" style="89" customWidth="1"/>
    <col min="13314" max="13314" width="29.1796875" style="89" bestFit="1" customWidth="1"/>
    <col min="13315" max="13315" width="18.81640625" style="89" customWidth="1"/>
    <col min="13316" max="13316" width="30.26953125" style="89" customWidth="1"/>
    <col min="13317" max="13317" width="7" style="89" bestFit="1" customWidth="1"/>
    <col min="13318" max="13319" width="5.81640625" style="89" bestFit="1" customWidth="1"/>
    <col min="13320" max="13320" width="1.7265625" style="89" customWidth="1"/>
    <col min="13321" max="13325" width="5.81640625" style="89" bestFit="1" customWidth="1"/>
    <col min="13326" max="13328" width="5.7265625" style="89" customWidth="1"/>
    <col min="13329" max="13330" width="5.81640625" style="89" bestFit="1" customWidth="1"/>
    <col min="13331" max="13331" width="5.7265625" style="89" customWidth="1"/>
    <col min="13332" max="13332" width="5.81640625" style="89" bestFit="1" customWidth="1"/>
    <col min="13333" max="13333" width="1.7265625" style="89" customWidth="1"/>
    <col min="13334" max="13334" width="5.81640625" style="89" bestFit="1" customWidth="1"/>
    <col min="13335" max="13335" width="5.7265625" style="89" bestFit="1" customWidth="1"/>
    <col min="13336" max="13339" width="5.7265625" style="89" customWidth="1"/>
    <col min="13340" max="13340" width="5.7265625" style="89" bestFit="1" customWidth="1"/>
    <col min="13341" max="13566" width="11.453125" style="89" customWidth="1"/>
    <col min="13567" max="13567" width="25.54296875" style="89" customWidth="1"/>
    <col min="13568" max="13568" width="11.453125" style="89"/>
    <col min="13569" max="13569" width="19" style="89" customWidth="1"/>
    <col min="13570" max="13570" width="29.1796875" style="89" bestFit="1" customWidth="1"/>
    <col min="13571" max="13571" width="18.81640625" style="89" customWidth="1"/>
    <col min="13572" max="13572" width="30.26953125" style="89" customWidth="1"/>
    <col min="13573" max="13573" width="7" style="89" bestFit="1" customWidth="1"/>
    <col min="13574" max="13575" width="5.81640625" style="89" bestFit="1" customWidth="1"/>
    <col min="13576" max="13576" width="1.7265625" style="89" customWidth="1"/>
    <col min="13577" max="13581" width="5.81640625" style="89" bestFit="1" customWidth="1"/>
    <col min="13582" max="13584" width="5.7265625" style="89" customWidth="1"/>
    <col min="13585" max="13586" width="5.81640625" style="89" bestFit="1" customWidth="1"/>
    <col min="13587" max="13587" width="5.7265625" style="89" customWidth="1"/>
    <col min="13588" max="13588" width="5.81640625" style="89" bestFit="1" customWidth="1"/>
    <col min="13589" max="13589" width="1.7265625" style="89" customWidth="1"/>
    <col min="13590" max="13590" width="5.81640625" style="89" bestFit="1" customWidth="1"/>
    <col min="13591" max="13591" width="5.7265625" style="89" bestFit="1" customWidth="1"/>
    <col min="13592" max="13595" width="5.7265625" style="89" customWidth="1"/>
    <col min="13596" max="13596" width="5.7265625" style="89" bestFit="1" customWidth="1"/>
    <col min="13597" max="13822" width="11.453125" style="89" customWidth="1"/>
    <col min="13823" max="13823" width="25.54296875" style="89" customWidth="1"/>
    <col min="13824" max="13824" width="11.453125" style="89"/>
    <col min="13825" max="13825" width="19" style="89" customWidth="1"/>
    <col min="13826" max="13826" width="29.1796875" style="89" bestFit="1" customWidth="1"/>
    <col min="13827" max="13827" width="18.81640625" style="89" customWidth="1"/>
    <col min="13828" max="13828" width="30.26953125" style="89" customWidth="1"/>
    <col min="13829" max="13829" width="7" style="89" bestFit="1" customWidth="1"/>
    <col min="13830" max="13831" width="5.81640625" style="89" bestFit="1" customWidth="1"/>
    <col min="13832" max="13832" width="1.7265625" style="89" customWidth="1"/>
    <col min="13833" max="13837" width="5.81640625" style="89" bestFit="1" customWidth="1"/>
    <col min="13838" max="13840" width="5.7265625" style="89" customWidth="1"/>
    <col min="13841" max="13842" width="5.81640625" style="89" bestFit="1" customWidth="1"/>
    <col min="13843" max="13843" width="5.7265625" style="89" customWidth="1"/>
    <col min="13844" max="13844" width="5.81640625" style="89" bestFit="1" customWidth="1"/>
    <col min="13845" max="13845" width="1.7265625" style="89" customWidth="1"/>
    <col min="13846" max="13846" width="5.81640625" style="89" bestFit="1" customWidth="1"/>
    <col min="13847" max="13847" width="5.7265625" style="89" bestFit="1" customWidth="1"/>
    <col min="13848" max="13851" width="5.7265625" style="89" customWidth="1"/>
    <col min="13852" max="13852" width="5.7265625" style="89" bestFit="1" customWidth="1"/>
    <col min="13853" max="14078" width="11.453125" style="89" customWidth="1"/>
    <col min="14079" max="14079" width="25.54296875" style="89" customWidth="1"/>
    <col min="14080" max="14080" width="11.453125" style="89"/>
    <col min="14081" max="14081" width="19" style="89" customWidth="1"/>
    <col min="14082" max="14082" width="29.1796875" style="89" bestFit="1" customWidth="1"/>
    <col min="14083" max="14083" width="18.81640625" style="89" customWidth="1"/>
    <col min="14084" max="14084" width="30.26953125" style="89" customWidth="1"/>
    <col min="14085" max="14085" width="7" style="89" bestFit="1" customWidth="1"/>
    <col min="14086" max="14087" width="5.81640625" style="89" bestFit="1" customWidth="1"/>
    <col min="14088" max="14088" width="1.7265625" style="89" customWidth="1"/>
    <col min="14089" max="14093" width="5.81640625" style="89" bestFit="1" customWidth="1"/>
    <col min="14094" max="14096" width="5.7265625" style="89" customWidth="1"/>
    <col min="14097" max="14098" width="5.81640625" style="89" bestFit="1" customWidth="1"/>
    <col min="14099" max="14099" width="5.7265625" style="89" customWidth="1"/>
    <col min="14100" max="14100" width="5.81640625" style="89" bestFit="1" customWidth="1"/>
    <col min="14101" max="14101" width="1.7265625" style="89" customWidth="1"/>
    <col min="14102" max="14102" width="5.81640625" style="89" bestFit="1" customWidth="1"/>
    <col min="14103" max="14103" width="5.7265625" style="89" bestFit="1" customWidth="1"/>
    <col min="14104" max="14107" width="5.7265625" style="89" customWidth="1"/>
    <col min="14108" max="14108" width="5.7265625" style="89" bestFit="1" customWidth="1"/>
    <col min="14109" max="14334" width="11.453125" style="89" customWidth="1"/>
    <col min="14335" max="14335" width="25.54296875" style="89" customWidth="1"/>
    <col min="14336" max="14336" width="11.453125" style="89"/>
    <col min="14337" max="14337" width="19" style="89" customWidth="1"/>
    <col min="14338" max="14338" width="29.1796875" style="89" bestFit="1" customWidth="1"/>
    <col min="14339" max="14339" width="18.81640625" style="89" customWidth="1"/>
    <col min="14340" max="14340" width="30.26953125" style="89" customWidth="1"/>
    <col min="14341" max="14341" width="7" style="89" bestFit="1" customWidth="1"/>
    <col min="14342" max="14343" width="5.81640625" style="89" bestFit="1" customWidth="1"/>
    <col min="14344" max="14344" width="1.7265625" style="89" customWidth="1"/>
    <col min="14345" max="14349" width="5.81640625" style="89" bestFit="1" customWidth="1"/>
    <col min="14350" max="14352" width="5.7265625" style="89" customWidth="1"/>
    <col min="14353" max="14354" width="5.81640625" style="89" bestFit="1" customWidth="1"/>
    <col min="14355" max="14355" width="5.7265625" style="89" customWidth="1"/>
    <col min="14356" max="14356" width="5.81640625" style="89" bestFit="1" customWidth="1"/>
    <col min="14357" max="14357" width="1.7265625" style="89" customWidth="1"/>
    <col min="14358" max="14358" width="5.81640625" style="89" bestFit="1" customWidth="1"/>
    <col min="14359" max="14359" width="5.7265625" style="89" bestFit="1" customWidth="1"/>
    <col min="14360" max="14363" width="5.7265625" style="89" customWidth="1"/>
    <col min="14364" max="14364" width="5.7265625" style="89" bestFit="1" customWidth="1"/>
    <col min="14365" max="14590" width="11.453125" style="89" customWidth="1"/>
    <col min="14591" max="14591" width="25.54296875" style="89" customWidth="1"/>
    <col min="14592" max="14592" width="11.453125" style="89"/>
    <col min="14593" max="14593" width="19" style="89" customWidth="1"/>
    <col min="14594" max="14594" width="29.1796875" style="89" bestFit="1" customWidth="1"/>
    <col min="14595" max="14595" width="18.81640625" style="89" customWidth="1"/>
    <col min="14596" max="14596" width="30.26953125" style="89" customWidth="1"/>
    <col min="14597" max="14597" width="7" style="89" bestFit="1" customWidth="1"/>
    <col min="14598" max="14599" width="5.81640625" style="89" bestFit="1" customWidth="1"/>
    <col min="14600" max="14600" width="1.7265625" style="89" customWidth="1"/>
    <col min="14601" max="14605" width="5.81640625" style="89" bestFit="1" customWidth="1"/>
    <col min="14606" max="14608" width="5.7265625" style="89" customWidth="1"/>
    <col min="14609" max="14610" width="5.81640625" style="89" bestFit="1" customWidth="1"/>
    <col min="14611" max="14611" width="5.7265625" style="89" customWidth="1"/>
    <col min="14612" max="14612" width="5.81640625" style="89" bestFit="1" customWidth="1"/>
    <col min="14613" max="14613" width="1.7265625" style="89" customWidth="1"/>
    <col min="14614" max="14614" width="5.81640625" style="89" bestFit="1" customWidth="1"/>
    <col min="14615" max="14615" width="5.7265625" style="89" bestFit="1" customWidth="1"/>
    <col min="14616" max="14619" width="5.7265625" style="89" customWidth="1"/>
    <col min="14620" max="14620" width="5.7265625" style="89" bestFit="1" customWidth="1"/>
    <col min="14621" max="14846" width="11.453125" style="89" customWidth="1"/>
    <col min="14847" max="14847" width="25.54296875" style="89" customWidth="1"/>
    <col min="14848" max="14848" width="11.453125" style="89"/>
    <col min="14849" max="14849" width="19" style="89" customWidth="1"/>
    <col min="14850" max="14850" width="29.1796875" style="89" bestFit="1" customWidth="1"/>
    <col min="14851" max="14851" width="18.81640625" style="89" customWidth="1"/>
    <col min="14852" max="14852" width="30.26953125" style="89" customWidth="1"/>
    <col min="14853" max="14853" width="7" style="89" bestFit="1" customWidth="1"/>
    <col min="14854" max="14855" width="5.81640625" style="89" bestFit="1" customWidth="1"/>
    <col min="14856" max="14856" width="1.7265625" style="89" customWidth="1"/>
    <col min="14857" max="14861" width="5.81640625" style="89" bestFit="1" customWidth="1"/>
    <col min="14862" max="14864" width="5.7265625" style="89" customWidth="1"/>
    <col min="14865" max="14866" width="5.81640625" style="89" bestFit="1" customWidth="1"/>
    <col min="14867" max="14867" width="5.7265625" style="89" customWidth="1"/>
    <col min="14868" max="14868" width="5.81640625" style="89" bestFit="1" customWidth="1"/>
    <col min="14869" max="14869" width="1.7265625" style="89" customWidth="1"/>
    <col min="14870" max="14870" width="5.81640625" style="89" bestFit="1" customWidth="1"/>
    <col min="14871" max="14871" width="5.7265625" style="89" bestFit="1" customWidth="1"/>
    <col min="14872" max="14875" width="5.7265625" style="89" customWidth="1"/>
    <col min="14876" max="14876" width="5.7265625" style="89" bestFit="1" customWidth="1"/>
    <col min="14877" max="15102" width="11.453125" style="89" customWidth="1"/>
    <col min="15103" max="15103" width="25.54296875" style="89" customWidth="1"/>
    <col min="15104" max="15104" width="11.453125" style="89"/>
    <col min="15105" max="15105" width="19" style="89" customWidth="1"/>
    <col min="15106" max="15106" width="29.1796875" style="89" bestFit="1" customWidth="1"/>
    <col min="15107" max="15107" width="18.81640625" style="89" customWidth="1"/>
    <col min="15108" max="15108" width="30.26953125" style="89" customWidth="1"/>
    <col min="15109" max="15109" width="7" style="89" bestFit="1" customWidth="1"/>
    <col min="15110" max="15111" width="5.81640625" style="89" bestFit="1" customWidth="1"/>
    <col min="15112" max="15112" width="1.7265625" style="89" customWidth="1"/>
    <col min="15113" max="15117" width="5.81640625" style="89" bestFit="1" customWidth="1"/>
    <col min="15118" max="15120" width="5.7265625" style="89" customWidth="1"/>
    <col min="15121" max="15122" width="5.81640625" style="89" bestFit="1" customWidth="1"/>
    <col min="15123" max="15123" width="5.7265625" style="89" customWidth="1"/>
    <col min="15124" max="15124" width="5.81640625" style="89" bestFit="1" customWidth="1"/>
    <col min="15125" max="15125" width="1.7265625" style="89" customWidth="1"/>
    <col min="15126" max="15126" width="5.81640625" style="89" bestFit="1" customWidth="1"/>
    <col min="15127" max="15127" width="5.7265625" style="89" bestFit="1" customWidth="1"/>
    <col min="15128" max="15131" width="5.7265625" style="89" customWidth="1"/>
    <col min="15132" max="15132" width="5.7265625" style="89" bestFit="1" customWidth="1"/>
    <col min="15133" max="15358" width="11.453125" style="89" customWidth="1"/>
    <col min="15359" max="15359" width="25.54296875" style="89" customWidth="1"/>
    <col min="15360" max="15360" width="11.453125" style="89"/>
    <col min="15361" max="15361" width="19" style="89" customWidth="1"/>
    <col min="15362" max="15362" width="29.1796875" style="89" bestFit="1" customWidth="1"/>
    <col min="15363" max="15363" width="18.81640625" style="89" customWidth="1"/>
    <col min="15364" max="15364" width="30.26953125" style="89" customWidth="1"/>
    <col min="15365" max="15365" width="7" style="89" bestFit="1" customWidth="1"/>
    <col min="15366" max="15367" width="5.81640625" style="89" bestFit="1" customWidth="1"/>
    <col min="15368" max="15368" width="1.7265625" style="89" customWidth="1"/>
    <col min="15369" max="15373" width="5.81640625" style="89" bestFit="1" customWidth="1"/>
    <col min="15374" max="15376" width="5.7265625" style="89" customWidth="1"/>
    <col min="15377" max="15378" width="5.81640625" style="89" bestFit="1" customWidth="1"/>
    <col min="15379" max="15379" width="5.7265625" style="89" customWidth="1"/>
    <col min="15380" max="15380" width="5.81640625" style="89" bestFit="1" customWidth="1"/>
    <col min="15381" max="15381" width="1.7265625" style="89" customWidth="1"/>
    <col min="15382" max="15382" width="5.81640625" style="89" bestFit="1" customWidth="1"/>
    <col min="15383" max="15383" width="5.7265625" style="89" bestFit="1" customWidth="1"/>
    <col min="15384" max="15387" width="5.7265625" style="89" customWidth="1"/>
    <col min="15388" max="15388" width="5.7265625" style="89" bestFit="1" customWidth="1"/>
    <col min="15389" max="15614" width="11.453125" style="89" customWidth="1"/>
    <col min="15615" max="15615" width="25.54296875" style="89" customWidth="1"/>
    <col min="15616" max="15616" width="11.453125" style="89"/>
    <col min="15617" max="15617" width="19" style="89" customWidth="1"/>
    <col min="15618" max="15618" width="29.1796875" style="89" bestFit="1" customWidth="1"/>
    <col min="15619" max="15619" width="18.81640625" style="89" customWidth="1"/>
    <col min="15620" max="15620" width="30.26953125" style="89" customWidth="1"/>
    <col min="15621" max="15621" width="7" style="89" bestFit="1" customWidth="1"/>
    <col min="15622" max="15623" width="5.81640625" style="89" bestFit="1" customWidth="1"/>
    <col min="15624" max="15624" width="1.7265625" style="89" customWidth="1"/>
    <col min="15625" max="15629" width="5.81640625" style="89" bestFit="1" customWidth="1"/>
    <col min="15630" max="15632" width="5.7265625" style="89" customWidth="1"/>
    <col min="15633" max="15634" width="5.81640625" style="89" bestFit="1" customWidth="1"/>
    <col min="15635" max="15635" width="5.7265625" style="89" customWidth="1"/>
    <col min="15636" max="15636" width="5.81640625" style="89" bestFit="1" customWidth="1"/>
    <col min="15637" max="15637" width="1.7265625" style="89" customWidth="1"/>
    <col min="15638" max="15638" width="5.81640625" style="89" bestFit="1" customWidth="1"/>
    <col min="15639" max="15639" width="5.7265625" style="89" bestFit="1" customWidth="1"/>
    <col min="15640" max="15643" width="5.7265625" style="89" customWidth="1"/>
    <col min="15644" max="15644" width="5.7265625" style="89" bestFit="1" customWidth="1"/>
    <col min="15645" max="15870" width="11.453125" style="89" customWidth="1"/>
    <col min="15871" max="15871" width="25.54296875" style="89" customWidth="1"/>
    <col min="15872" max="15872" width="11.453125" style="89"/>
    <col min="15873" max="15873" width="19" style="89" customWidth="1"/>
    <col min="15874" max="15874" width="29.1796875" style="89" bestFit="1" customWidth="1"/>
    <col min="15875" max="15875" width="18.81640625" style="89" customWidth="1"/>
    <col min="15876" max="15876" width="30.26953125" style="89" customWidth="1"/>
    <col min="15877" max="15877" width="7" style="89" bestFit="1" customWidth="1"/>
    <col min="15878" max="15879" width="5.81640625" style="89" bestFit="1" customWidth="1"/>
    <col min="15880" max="15880" width="1.7265625" style="89" customWidth="1"/>
    <col min="15881" max="15885" width="5.81640625" style="89" bestFit="1" customWidth="1"/>
    <col min="15886" max="15888" width="5.7265625" style="89" customWidth="1"/>
    <col min="15889" max="15890" width="5.81640625" style="89" bestFit="1" customWidth="1"/>
    <col min="15891" max="15891" width="5.7265625" style="89" customWidth="1"/>
    <col min="15892" max="15892" width="5.81640625" style="89" bestFit="1" customWidth="1"/>
    <col min="15893" max="15893" width="1.7265625" style="89" customWidth="1"/>
    <col min="15894" max="15894" width="5.81640625" style="89" bestFit="1" customWidth="1"/>
    <col min="15895" max="15895" width="5.7265625" style="89" bestFit="1" customWidth="1"/>
    <col min="15896" max="15899" width="5.7265625" style="89" customWidth="1"/>
    <col min="15900" max="15900" width="5.7265625" style="89" bestFit="1" customWidth="1"/>
    <col min="15901" max="16126" width="11.453125" style="89" customWidth="1"/>
    <col min="16127" max="16127" width="25.54296875" style="89" customWidth="1"/>
    <col min="16128" max="16128" width="11.453125" style="89"/>
    <col min="16129" max="16129" width="19" style="89" customWidth="1"/>
    <col min="16130" max="16130" width="29.1796875" style="89" bestFit="1" customWidth="1"/>
    <col min="16131" max="16131" width="18.81640625" style="89" customWidth="1"/>
    <col min="16132" max="16132" width="30.26953125" style="89" customWidth="1"/>
    <col min="16133" max="16133" width="7" style="89" bestFit="1" customWidth="1"/>
    <col min="16134" max="16135" width="5.81640625" style="89" bestFit="1" customWidth="1"/>
    <col min="16136" max="16136" width="1.7265625" style="89" customWidth="1"/>
    <col min="16137" max="16141" width="5.81640625" style="89" bestFit="1" customWidth="1"/>
    <col min="16142" max="16144" width="5.7265625" style="89" customWidth="1"/>
    <col min="16145" max="16146" width="5.81640625" style="89" bestFit="1" customWidth="1"/>
    <col min="16147" max="16147" width="5.7265625" style="89" customWidth="1"/>
    <col min="16148" max="16148" width="5.81640625" style="89" bestFit="1" customWidth="1"/>
    <col min="16149" max="16149" width="1.7265625" style="89" customWidth="1"/>
    <col min="16150" max="16150" width="5.81640625" style="89" bestFit="1" customWidth="1"/>
    <col min="16151" max="16151" width="5.7265625" style="89" bestFit="1" customWidth="1"/>
    <col min="16152" max="16155" width="5.7265625" style="89" customWidth="1"/>
    <col min="16156" max="16156" width="5.7265625" style="89" bestFit="1" customWidth="1"/>
    <col min="16157" max="16382" width="11.453125" style="89" customWidth="1"/>
    <col min="16383" max="16383" width="25.54296875" style="89" customWidth="1"/>
    <col min="16384" max="16384" width="11.453125" style="89"/>
  </cols>
  <sheetData>
    <row r="1" spans="1:28" ht="14.5" x14ac:dyDescent="0.35">
      <c r="A1" s="260" t="s">
        <v>362</v>
      </c>
      <c r="B1" s="257"/>
      <c r="C1" s="257"/>
      <c r="D1" s="257"/>
      <c r="E1" s="111"/>
    </row>
    <row r="2" spans="1:28" ht="14.5" x14ac:dyDescent="0.35">
      <c r="A2" s="261" t="s">
        <v>361</v>
      </c>
      <c r="B2" s="262"/>
      <c r="C2" s="262"/>
      <c r="D2" s="262"/>
      <c r="E2" s="110"/>
    </row>
    <row r="3" spans="1:28" ht="12.75" customHeight="1" x14ac:dyDescent="0.35">
      <c r="A3" s="263" t="s">
        <v>360</v>
      </c>
      <c r="B3" s="257"/>
      <c r="C3" s="257"/>
      <c r="D3" s="257"/>
      <c r="E3" s="107"/>
    </row>
    <row r="4" spans="1:28" x14ac:dyDescent="0.25">
      <c r="A4" s="107"/>
      <c r="B4" s="109"/>
      <c r="C4" s="108"/>
      <c r="D4" s="108"/>
      <c r="E4" s="107"/>
    </row>
    <row r="5" spans="1:28" ht="14.5" x14ac:dyDescent="0.35">
      <c r="A5" s="264" t="s">
        <v>359</v>
      </c>
      <c r="B5" s="257"/>
      <c r="C5" s="257"/>
      <c r="D5" s="257"/>
      <c r="E5" s="257"/>
      <c r="F5" s="257"/>
      <c r="G5" s="257"/>
      <c r="H5" s="257"/>
      <c r="I5" s="257"/>
      <c r="J5" s="257"/>
      <c r="K5" s="257"/>
      <c r="U5" s="89"/>
      <c r="V5" s="89"/>
      <c r="W5" s="89"/>
      <c r="X5" s="89"/>
      <c r="Y5" s="89"/>
      <c r="Z5" s="89"/>
      <c r="AA5" s="89"/>
      <c r="AB5" s="89"/>
    </row>
    <row r="6" spans="1:28" x14ac:dyDescent="0.25">
      <c r="V6" s="103"/>
      <c r="W6" s="103"/>
      <c r="X6" s="103"/>
      <c r="Y6" s="103"/>
      <c r="Z6" s="103"/>
      <c r="AA6" s="103"/>
      <c r="AB6" s="103"/>
    </row>
    <row r="7" spans="1:28" ht="15" customHeight="1" x14ac:dyDescent="0.35">
      <c r="A7" s="265" t="s">
        <v>358</v>
      </c>
      <c r="B7" s="265" t="s">
        <v>357</v>
      </c>
      <c r="C7" s="265" t="s">
        <v>356</v>
      </c>
      <c r="D7" s="265" t="s">
        <v>355</v>
      </c>
      <c r="E7" s="267">
        <v>2015</v>
      </c>
      <c r="F7" s="267"/>
      <c r="G7" s="267"/>
      <c r="H7" s="106"/>
      <c r="I7" s="267">
        <v>2016</v>
      </c>
      <c r="J7" s="267"/>
      <c r="K7" s="267"/>
      <c r="L7" s="267"/>
      <c r="M7" s="267"/>
      <c r="N7" s="267"/>
      <c r="O7" s="267"/>
      <c r="P7" s="267"/>
      <c r="Q7" s="267"/>
      <c r="R7" s="267"/>
      <c r="S7" s="267"/>
      <c r="T7" s="267"/>
      <c r="U7" s="106"/>
      <c r="V7" s="254">
        <v>2017</v>
      </c>
      <c r="W7" s="254"/>
      <c r="X7" s="254"/>
      <c r="Y7" s="254"/>
      <c r="Z7" s="254"/>
      <c r="AA7" s="254"/>
      <c r="AB7" s="255"/>
    </row>
    <row r="8" spans="1:28" x14ac:dyDescent="0.25">
      <c r="A8" s="266"/>
      <c r="B8" s="266"/>
      <c r="C8" s="266" t="s">
        <v>354</v>
      </c>
      <c r="D8" s="266"/>
      <c r="E8" s="105" t="s">
        <v>345</v>
      </c>
      <c r="F8" s="99" t="s">
        <v>344</v>
      </c>
      <c r="G8" s="99" t="s">
        <v>343</v>
      </c>
      <c r="H8" s="96"/>
      <c r="I8" s="99" t="s">
        <v>342</v>
      </c>
      <c r="J8" s="99" t="s">
        <v>353</v>
      </c>
      <c r="K8" s="99" t="s">
        <v>352</v>
      </c>
      <c r="L8" s="99" t="s">
        <v>351</v>
      </c>
      <c r="M8" s="99" t="s">
        <v>350</v>
      </c>
      <c r="N8" s="99" t="s">
        <v>349</v>
      </c>
      <c r="O8" s="99" t="s">
        <v>348</v>
      </c>
      <c r="P8" s="99" t="s">
        <v>347</v>
      </c>
      <c r="Q8" s="99" t="s">
        <v>346</v>
      </c>
      <c r="R8" s="99" t="s">
        <v>345</v>
      </c>
      <c r="S8" s="99" t="s">
        <v>344</v>
      </c>
      <c r="T8" s="99" t="s">
        <v>343</v>
      </c>
      <c r="U8" s="96"/>
      <c r="V8" s="99" t="s">
        <v>342</v>
      </c>
      <c r="W8" s="99" t="s">
        <v>341</v>
      </c>
      <c r="X8" s="99" t="s">
        <v>340</v>
      </c>
      <c r="Y8" s="99" t="s">
        <v>339</v>
      </c>
      <c r="Z8" s="99" t="s">
        <v>338</v>
      </c>
      <c r="AA8" s="99" t="s">
        <v>337</v>
      </c>
      <c r="AB8" s="99" t="s">
        <v>336</v>
      </c>
    </row>
    <row r="9" spans="1:28" x14ac:dyDescent="0.25">
      <c r="A9" s="90"/>
      <c r="B9" s="90"/>
      <c r="C9" s="90"/>
      <c r="D9" s="90"/>
      <c r="E9" s="90"/>
    </row>
    <row r="10" spans="1:28" x14ac:dyDescent="0.25">
      <c r="A10" s="92" t="s">
        <v>335</v>
      </c>
      <c r="B10" s="90" t="s">
        <v>334</v>
      </c>
      <c r="C10" s="92" t="s">
        <v>314</v>
      </c>
      <c r="D10" s="90" t="s">
        <v>333</v>
      </c>
      <c r="E10" s="102">
        <v>100</v>
      </c>
      <c r="F10" s="101">
        <v>100.14994377108584</v>
      </c>
      <c r="G10" s="101">
        <v>100.4060977133575</v>
      </c>
      <c r="H10" s="101"/>
      <c r="I10" s="100">
        <v>100.63101336998626</v>
      </c>
      <c r="J10" s="100">
        <v>100.78720479820068</v>
      </c>
      <c r="K10" s="100">
        <v>101.39322753967262</v>
      </c>
      <c r="L10" s="100">
        <v>119.9675121829314</v>
      </c>
      <c r="M10" s="100">
        <v>122.67899537673371</v>
      </c>
      <c r="N10" s="100">
        <v>123.4099712607772</v>
      </c>
      <c r="O10" s="100">
        <v>122.87892040484817</v>
      </c>
      <c r="P10" s="100">
        <v>122.53529926277645</v>
      </c>
      <c r="Q10" s="100">
        <v>123.01636886167685</v>
      </c>
      <c r="R10" s="100">
        <v>133.64988129451453</v>
      </c>
      <c r="S10" s="100">
        <v>135.0930900912158</v>
      </c>
      <c r="T10" s="100">
        <v>135.79282768961639</v>
      </c>
      <c r="U10" s="101"/>
      <c r="V10" s="100">
        <v>140.38485567912031</v>
      </c>
      <c r="W10" s="100">
        <v>140.54104710733475</v>
      </c>
      <c r="X10" s="100">
        <v>140.60977133574909</v>
      </c>
      <c r="Y10" s="100">
        <v>152.92390353617392</v>
      </c>
      <c r="Z10" s="100">
        <v>154.4108459327752</v>
      </c>
      <c r="AA10" s="100">
        <v>155.29176558790451</v>
      </c>
      <c r="AB10" s="100">
        <v>166.83743596151442</v>
      </c>
    </row>
    <row r="11" spans="1:28" x14ac:dyDescent="0.25">
      <c r="A11" s="92" t="s">
        <v>332</v>
      </c>
      <c r="B11" s="90" t="s">
        <v>331</v>
      </c>
      <c r="C11" s="92" t="s">
        <v>310</v>
      </c>
      <c r="D11" s="90" t="s">
        <v>330</v>
      </c>
      <c r="E11" s="102">
        <v>100</v>
      </c>
      <c r="F11" s="101">
        <v>100.63568474973771</v>
      </c>
      <c r="G11" s="101">
        <v>102.46250694315867</v>
      </c>
      <c r="I11" s="100">
        <v>103.74004813923348</v>
      </c>
      <c r="J11" s="100">
        <v>104.78306486453126</v>
      </c>
      <c r="K11" s="100">
        <v>105.46195149046473</v>
      </c>
      <c r="L11" s="100">
        <v>122.69332839597605</v>
      </c>
      <c r="M11" s="100">
        <v>123.83509226686415</v>
      </c>
      <c r="N11" s="100">
        <v>124.13750540023453</v>
      </c>
      <c r="O11" s="100">
        <v>124.18070727643028</v>
      </c>
      <c r="P11" s="100">
        <v>124.32882799481577</v>
      </c>
      <c r="Q11" s="100">
        <v>125.26075418132443</v>
      </c>
      <c r="R11" s="100">
        <v>134.7836820341912</v>
      </c>
      <c r="S11" s="100">
        <v>136.40683823983213</v>
      </c>
      <c r="T11" s="100">
        <v>137.00549280997348</v>
      </c>
      <c r="V11" s="100">
        <v>141.50465963093257</v>
      </c>
      <c r="W11" s="100">
        <v>142.3008084922545</v>
      </c>
      <c r="X11" s="100">
        <v>142.86860457939886</v>
      </c>
      <c r="Y11" s="100">
        <v>154.57014133185211</v>
      </c>
      <c r="Z11" s="100">
        <v>155.2181694747886</v>
      </c>
      <c r="AA11" s="100">
        <v>155.60081466395107</v>
      </c>
      <c r="AB11" s="100">
        <v>165.97543664753439</v>
      </c>
    </row>
    <row r="12" spans="1:28" x14ac:dyDescent="0.25">
      <c r="A12" s="92" t="s">
        <v>329</v>
      </c>
      <c r="B12" s="90" t="s">
        <v>328</v>
      </c>
      <c r="C12" s="92" t="s">
        <v>310</v>
      </c>
      <c r="D12" s="90" t="s">
        <v>327</v>
      </c>
      <c r="E12" s="102">
        <v>100</v>
      </c>
      <c r="F12" s="101">
        <v>100.93035619351409</v>
      </c>
      <c r="G12" s="101">
        <v>107.70866560340244</v>
      </c>
      <c r="I12" s="100">
        <v>112.94524189261031</v>
      </c>
      <c r="J12" s="100">
        <v>113.87559808612441</v>
      </c>
      <c r="K12" s="100">
        <v>115.86921850079746</v>
      </c>
      <c r="L12" s="100">
        <v>121.01275917065392</v>
      </c>
      <c r="M12" s="100">
        <v>121.79691653375865</v>
      </c>
      <c r="N12" s="100">
        <v>125.35885167464116</v>
      </c>
      <c r="O12" s="100">
        <v>125.37214247740563</v>
      </c>
      <c r="P12" s="100">
        <v>125.86390217969165</v>
      </c>
      <c r="Q12" s="100">
        <v>126.06326422115896</v>
      </c>
      <c r="R12" s="100">
        <v>126.50186071238703</v>
      </c>
      <c r="S12" s="100">
        <v>127.64486975013291</v>
      </c>
      <c r="T12" s="100">
        <v>129.87772461456674</v>
      </c>
      <c r="V12" s="100">
        <v>130.72833599149391</v>
      </c>
      <c r="W12" s="100">
        <v>132.150451887294</v>
      </c>
      <c r="X12" s="100">
        <v>132.85486443381183</v>
      </c>
      <c r="Y12" s="100">
        <v>133.46624136097822</v>
      </c>
      <c r="Z12" s="100">
        <v>135.72567783094101</v>
      </c>
      <c r="AA12" s="100">
        <v>135.80542264752791</v>
      </c>
      <c r="AB12" s="100">
        <v>136.61616161616163</v>
      </c>
    </row>
    <row r="13" spans="1:28" x14ac:dyDescent="0.25">
      <c r="A13" s="92" t="s">
        <v>326</v>
      </c>
      <c r="B13" s="90" t="s">
        <v>325</v>
      </c>
      <c r="C13" s="92" t="s">
        <v>324</v>
      </c>
      <c r="D13" s="90" t="s">
        <v>323</v>
      </c>
      <c r="E13" s="102">
        <v>100</v>
      </c>
      <c r="F13" s="101">
        <v>100.87001553599171</v>
      </c>
      <c r="G13" s="101">
        <v>105.59295701708959</v>
      </c>
      <c r="I13" s="100">
        <v>106.06939409632315</v>
      </c>
      <c r="J13" s="100">
        <v>109.64267219057483</v>
      </c>
      <c r="K13" s="100">
        <v>119.48213360952873</v>
      </c>
      <c r="L13" s="100">
        <v>125.91403417918177</v>
      </c>
      <c r="M13" s="100">
        <v>132.85344381149662</v>
      </c>
      <c r="N13" s="100">
        <v>133.98239254272394</v>
      </c>
      <c r="O13" s="100">
        <v>135.08026929052303</v>
      </c>
      <c r="P13" s="100">
        <v>135.75349559813566</v>
      </c>
      <c r="Q13" s="100">
        <v>135.96064215432415</v>
      </c>
      <c r="R13" s="100">
        <v>134.64526152252714</v>
      </c>
      <c r="S13" s="100">
        <v>135.8570688762299</v>
      </c>
      <c r="T13" s="100">
        <v>137.4210253754531</v>
      </c>
      <c r="V13" s="100">
        <v>138.63283272915587</v>
      </c>
      <c r="W13" s="100">
        <v>139.14034179181772</v>
      </c>
      <c r="X13" s="100">
        <v>145.67581563956497</v>
      </c>
      <c r="Y13" s="100">
        <v>148.30657690315897</v>
      </c>
      <c r="Z13" s="100">
        <v>149.24909373381666</v>
      </c>
      <c r="AA13" s="100">
        <v>151.50699119627134</v>
      </c>
      <c r="AB13" s="100">
        <v>155.01812532366648</v>
      </c>
    </row>
    <row r="14" spans="1:28" x14ac:dyDescent="0.25">
      <c r="A14" s="92" t="s">
        <v>322</v>
      </c>
      <c r="B14" s="90" t="s">
        <v>321</v>
      </c>
      <c r="C14" s="92" t="s">
        <v>310</v>
      </c>
      <c r="D14" s="90" t="s">
        <v>320</v>
      </c>
      <c r="E14" s="102">
        <v>100</v>
      </c>
      <c r="F14" s="101">
        <v>100.51318350734383</v>
      </c>
      <c r="G14" s="101">
        <v>107.72429658467527</v>
      </c>
      <c r="I14" s="100">
        <v>112.63493187046539</v>
      </c>
      <c r="J14" s="100">
        <v>114.72305786586445</v>
      </c>
      <c r="K14" s="100">
        <v>115.48398513537427</v>
      </c>
      <c r="L14" s="100">
        <v>118.64271810299063</v>
      </c>
      <c r="M14" s="100">
        <v>132.07396920898955</v>
      </c>
      <c r="N14" s="100">
        <v>132.90568041054681</v>
      </c>
      <c r="O14" s="100">
        <v>134.72836666076802</v>
      </c>
      <c r="P14" s="100">
        <v>134.50716687311981</v>
      </c>
      <c r="Q14" s="100">
        <v>134.90532649088658</v>
      </c>
      <c r="R14" s="100">
        <v>139.0284905326491</v>
      </c>
      <c r="S14" s="100">
        <v>145.35480445938774</v>
      </c>
      <c r="T14" s="100">
        <v>146.04494779685012</v>
      </c>
      <c r="V14" s="100">
        <v>149.55760042470362</v>
      </c>
      <c r="W14" s="100">
        <v>151.45991859847817</v>
      </c>
      <c r="X14" s="100">
        <v>151.57494248805523</v>
      </c>
      <c r="Y14" s="100">
        <v>151.95540612281013</v>
      </c>
      <c r="Z14" s="100">
        <v>159.40541497080164</v>
      </c>
      <c r="AA14" s="100">
        <v>161.27234117855252</v>
      </c>
      <c r="AB14" s="100">
        <v>171.84569102813668</v>
      </c>
    </row>
    <row r="15" spans="1:28" x14ac:dyDescent="0.25">
      <c r="A15" s="92" t="s">
        <v>319</v>
      </c>
      <c r="B15" s="90" t="s">
        <v>318</v>
      </c>
      <c r="C15" s="92" t="s">
        <v>306</v>
      </c>
      <c r="D15" s="90" t="s">
        <v>317</v>
      </c>
      <c r="E15" s="102">
        <v>100</v>
      </c>
      <c r="F15" s="101">
        <v>103.92030848329048</v>
      </c>
      <c r="G15" s="101">
        <v>112.66066838046272</v>
      </c>
      <c r="I15" s="100">
        <v>122.43644672950587</v>
      </c>
      <c r="J15" s="100">
        <v>126.84233076263928</v>
      </c>
      <c r="K15" s="100">
        <v>135.98971722365044</v>
      </c>
      <c r="L15" s="100">
        <v>139.98857469294495</v>
      </c>
      <c r="M15" s="100">
        <v>141.53813196229655</v>
      </c>
      <c r="N15" s="100">
        <v>142.16652385032853</v>
      </c>
      <c r="O15" s="100">
        <v>142.5592687803485</v>
      </c>
      <c r="P15" s="100">
        <v>143.66609540131395</v>
      </c>
      <c r="Q15" s="100">
        <v>143.54470151385323</v>
      </c>
      <c r="R15" s="100">
        <v>145.42273636103974</v>
      </c>
      <c r="S15" s="100">
        <v>145.37275064267357</v>
      </c>
      <c r="T15" s="100">
        <v>147.74350185661245</v>
      </c>
      <c r="V15" s="100">
        <v>147.7506426735219</v>
      </c>
      <c r="W15" s="100">
        <v>148.17195087117972</v>
      </c>
      <c r="X15" s="100">
        <v>151.16395315624115</v>
      </c>
      <c r="Y15" s="100">
        <v>153.69180234218803</v>
      </c>
      <c r="Z15" s="100">
        <v>156.42673521850907</v>
      </c>
      <c r="AA15" s="100">
        <v>156.34818623250507</v>
      </c>
      <c r="AB15" s="100">
        <v>161.88231933733226</v>
      </c>
    </row>
    <row r="16" spans="1:28" x14ac:dyDescent="0.25">
      <c r="A16" s="92" t="s">
        <v>316</v>
      </c>
      <c r="B16" s="90" t="s">
        <v>315</v>
      </c>
      <c r="C16" s="92" t="s">
        <v>314</v>
      </c>
      <c r="D16" s="90" t="s">
        <v>313</v>
      </c>
      <c r="E16" s="102">
        <v>100</v>
      </c>
      <c r="F16" s="101">
        <v>100.50302601587676</v>
      </c>
      <c r="G16" s="101">
        <v>102.39723335691268</v>
      </c>
      <c r="I16" s="100">
        <v>105.58044486363281</v>
      </c>
      <c r="J16" s="100">
        <v>115.46019020671227</v>
      </c>
      <c r="K16" s="100">
        <v>118.5176452094632</v>
      </c>
      <c r="L16" s="100">
        <v>126.57392124498942</v>
      </c>
      <c r="M16" s="100">
        <v>130.74746522046689</v>
      </c>
      <c r="N16" s="100">
        <v>135.95850035369017</v>
      </c>
      <c r="O16" s="100">
        <v>139.0788336084257</v>
      </c>
      <c r="P16" s="100">
        <v>141.57038434331525</v>
      </c>
      <c r="Q16" s="100">
        <v>142.16772773716889</v>
      </c>
      <c r="R16" s="100">
        <v>149.87817338677985</v>
      </c>
      <c r="S16" s="100">
        <v>153.83164348031127</v>
      </c>
      <c r="T16" s="100">
        <v>154.27179124420343</v>
      </c>
      <c r="V16" s="100">
        <v>156.55112787864499</v>
      </c>
      <c r="W16" s="100">
        <v>174.21205690481807</v>
      </c>
      <c r="X16" s="100">
        <v>180.46058319578717</v>
      </c>
      <c r="Y16" s="100">
        <v>188.62689617228642</v>
      </c>
      <c r="Z16" s="100">
        <v>191.22062406665094</v>
      </c>
      <c r="AA16" s="100">
        <v>195.11121590819775</v>
      </c>
      <c r="AB16" s="100">
        <v>201.34402263617068</v>
      </c>
    </row>
    <row r="17" spans="1:28" x14ac:dyDescent="0.25">
      <c r="A17" s="92" t="s">
        <v>312</v>
      </c>
      <c r="B17" s="90" t="s">
        <v>311</v>
      </c>
      <c r="C17" s="92" t="s">
        <v>310</v>
      </c>
      <c r="D17" s="90" t="s">
        <v>309</v>
      </c>
      <c r="E17" s="102">
        <v>100</v>
      </c>
      <c r="F17" s="101">
        <v>102.12490282456595</v>
      </c>
      <c r="G17" s="101">
        <v>106.08102271745702</v>
      </c>
      <c r="I17" s="100">
        <v>110.90956206271056</v>
      </c>
      <c r="J17" s="100">
        <v>112.48164464023496</v>
      </c>
      <c r="K17" s="100">
        <v>114.43379113760042</v>
      </c>
      <c r="L17" s="100">
        <v>116.97330914744754</v>
      </c>
      <c r="M17" s="100">
        <v>124.44502029886846</v>
      </c>
      <c r="N17" s="100">
        <v>125.15332124039044</v>
      </c>
      <c r="O17" s="100">
        <v>125.93072471279262</v>
      </c>
      <c r="P17" s="100">
        <v>126.49218277619421</v>
      </c>
      <c r="Q17" s="100">
        <v>127.64101235207742</v>
      </c>
      <c r="R17" s="100">
        <v>129.05761423512138</v>
      </c>
      <c r="S17" s="100">
        <v>131.00976073248685</v>
      </c>
      <c r="T17" s="100">
        <v>133.97253174397514</v>
      </c>
      <c r="V17" s="100">
        <v>135.84693789410039</v>
      </c>
      <c r="W17" s="100">
        <v>137.08214563358382</v>
      </c>
      <c r="X17" s="100">
        <v>139.5784745616308</v>
      </c>
      <c r="Y17" s="100">
        <v>140.14857044139239</v>
      </c>
      <c r="Z17" s="100">
        <v>142.152543836918</v>
      </c>
      <c r="AA17" s="100">
        <v>146.53191673145025</v>
      </c>
      <c r="AB17" s="100">
        <v>147.60300596009324</v>
      </c>
    </row>
    <row r="18" spans="1:28" x14ac:dyDescent="0.25">
      <c r="A18" s="104" t="s">
        <v>308</v>
      </c>
      <c r="B18" s="103" t="s">
        <v>307</v>
      </c>
      <c r="C18" s="104" t="s">
        <v>306</v>
      </c>
      <c r="D18" s="103" t="s">
        <v>305</v>
      </c>
      <c r="E18" s="102">
        <v>100</v>
      </c>
      <c r="F18" s="101">
        <v>102.14735636571865</v>
      </c>
      <c r="G18" s="101">
        <v>105.84080931475474</v>
      </c>
      <c r="I18" s="100">
        <v>110.51727428898646</v>
      </c>
      <c r="J18" s="100">
        <v>114.43977858369917</v>
      </c>
      <c r="K18" s="100">
        <v>116.28173315518229</v>
      </c>
      <c r="L18" s="100">
        <v>116.75892345867533</v>
      </c>
      <c r="M18" s="100">
        <v>121.14907425081122</v>
      </c>
      <c r="N18" s="100">
        <v>121.1777056690208</v>
      </c>
      <c r="O18" s="100">
        <v>127.84882611185338</v>
      </c>
      <c r="P18" s="100">
        <v>127.8679137239931</v>
      </c>
      <c r="Q18" s="100">
        <v>131.19870204237449</v>
      </c>
      <c r="R18" s="100">
        <v>132.27715212826874</v>
      </c>
      <c r="S18" s="100">
        <v>133.86142393586562</v>
      </c>
      <c r="T18" s="100">
        <v>136.66730292040464</v>
      </c>
      <c r="V18" s="100">
        <v>141.09562893681999</v>
      </c>
      <c r="W18" s="100">
        <v>146.65966787554873</v>
      </c>
      <c r="X18" s="100">
        <v>151.31704523764071</v>
      </c>
      <c r="Y18" s="100">
        <v>152.66272189349104</v>
      </c>
      <c r="Z18" s="100">
        <v>156.77610230960099</v>
      </c>
      <c r="AA18" s="100">
        <v>161.089902653178</v>
      </c>
      <c r="AB18" s="100">
        <v>166.47260927657942</v>
      </c>
    </row>
    <row r="19" spans="1:28" x14ac:dyDescent="0.25">
      <c r="A19" s="104" t="s">
        <v>304</v>
      </c>
      <c r="B19" s="103" t="s">
        <v>303</v>
      </c>
      <c r="C19" s="104">
        <v>4324041</v>
      </c>
      <c r="D19" s="103" t="s">
        <v>302</v>
      </c>
      <c r="E19" s="102">
        <v>100</v>
      </c>
      <c r="F19" s="101">
        <v>101.09949606430386</v>
      </c>
      <c r="G19" s="101">
        <v>105.86397900962059</v>
      </c>
      <c r="I19" s="100">
        <v>105.86397900962059</v>
      </c>
      <c r="J19" s="100">
        <v>107.98800549748032</v>
      </c>
      <c r="K19" s="100">
        <v>108.4419640997876</v>
      </c>
      <c r="L19" s="100">
        <v>111.04077297905124</v>
      </c>
      <c r="M19" s="100">
        <v>111.04077297905124</v>
      </c>
      <c r="N19" s="100">
        <v>113.92278539002955</v>
      </c>
      <c r="O19" s="100">
        <v>113.92278539002955</v>
      </c>
      <c r="P19" s="100">
        <v>113.92278539002955</v>
      </c>
      <c r="Q19" s="100">
        <v>113.98525675731955</v>
      </c>
      <c r="R19" s="100">
        <v>114.86818541501809</v>
      </c>
      <c r="S19" s="100">
        <v>114.80571404772809</v>
      </c>
      <c r="T19" s="100">
        <v>114.80571404772809</v>
      </c>
      <c r="V19" s="100">
        <v>114.80571404772809</v>
      </c>
      <c r="W19" s="100">
        <v>114.58081712548412</v>
      </c>
      <c r="X19" s="100">
        <v>117.66690266960974</v>
      </c>
      <c r="Y19" s="100">
        <v>117.66690266960974</v>
      </c>
      <c r="Z19" s="100">
        <v>121.12365165965596</v>
      </c>
      <c r="AA19" s="100">
        <v>121.12365165965596</v>
      </c>
      <c r="AB19" s="100">
        <v>124.92607554870679</v>
      </c>
    </row>
    <row r="20" spans="1:28" x14ac:dyDescent="0.25">
      <c r="A20" s="99" t="s">
        <v>301</v>
      </c>
      <c r="B20" s="96" t="s">
        <v>300</v>
      </c>
      <c r="C20" s="99">
        <v>4322032</v>
      </c>
      <c r="D20" s="96" t="s">
        <v>299</v>
      </c>
      <c r="E20" s="98">
        <v>100</v>
      </c>
      <c r="F20" s="97">
        <v>101.98618307426598</v>
      </c>
      <c r="G20" s="97">
        <v>108.34412780656307</v>
      </c>
      <c r="H20" s="96"/>
      <c r="I20" s="95">
        <v>125.47495682210709</v>
      </c>
      <c r="J20" s="95">
        <v>132.27547495682214</v>
      </c>
      <c r="K20" s="95">
        <v>151.3061312607945</v>
      </c>
      <c r="L20" s="95">
        <v>152.87132987910195</v>
      </c>
      <c r="M20" s="95">
        <v>152.16968911917104</v>
      </c>
      <c r="N20" s="95">
        <v>152.612262521589</v>
      </c>
      <c r="O20" s="95">
        <v>153.41105354058729</v>
      </c>
      <c r="P20" s="95">
        <v>153.63773747841111</v>
      </c>
      <c r="Q20" s="95">
        <v>152.25604490500871</v>
      </c>
      <c r="R20" s="95">
        <v>153.9183937823835</v>
      </c>
      <c r="S20" s="95">
        <v>156.45509499136452</v>
      </c>
      <c r="T20" s="95">
        <v>154.09110535405881</v>
      </c>
      <c r="U20" s="96"/>
      <c r="V20" s="95">
        <v>156.99481865284986</v>
      </c>
      <c r="W20" s="95">
        <v>157.48056994818663</v>
      </c>
      <c r="X20" s="95">
        <v>157.10276338514691</v>
      </c>
      <c r="Y20" s="95">
        <v>158.84067357512964</v>
      </c>
      <c r="Z20" s="95">
        <v>159.5962867012091</v>
      </c>
      <c r="AA20" s="95">
        <v>162.82383419689131</v>
      </c>
      <c r="AB20" s="95">
        <v>163.48229706390339</v>
      </c>
    </row>
    <row r="21" spans="1:28" x14ac:dyDescent="0.25">
      <c r="B21" s="90"/>
      <c r="C21" s="92"/>
      <c r="D21" s="90"/>
      <c r="E21" s="90"/>
    </row>
    <row r="22" spans="1:28" ht="14.5" x14ac:dyDescent="0.35">
      <c r="A22" s="256" t="s">
        <v>298</v>
      </c>
      <c r="B22" s="257"/>
      <c r="C22" s="257"/>
      <c r="D22" s="90"/>
      <c r="E22" s="90"/>
    </row>
    <row r="23" spans="1:28" ht="12.75" customHeight="1" x14ac:dyDescent="0.35">
      <c r="A23" s="256" t="s">
        <v>297</v>
      </c>
      <c r="B23" s="257"/>
      <c r="C23" s="257"/>
      <c r="D23" s="257"/>
      <c r="E23" s="257"/>
      <c r="F23" s="257"/>
      <c r="G23" s="257"/>
      <c r="H23" s="257"/>
      <c r="I23" s="257"/>
      <c r="J23" s="257"/>
      <c r="K23" s="257"/>
      <c r="U23" s="89"/>
      <c r="V23" s="89"/>
      <c r="W23" s="89"/>
      <c r="X23" s="89"/>
      <c r="Y23" s="89"/>
      <c r="Z23" s="89"/>
      <c r="AA23" s="89"/>
      <c r="AB23" s="89"/>
    </row>
    <row r="24" spans="1:28" x14ac:dyDescent="0.25">
      <c r="A24" s="90" t="s">
        <v>296</v>
      </c>
      <c r="B24" s="94"/>
      <c r="C24" s="94"/>
      <c r="D24" s="94"/>
      <c r="E24" s="94"/>
    </row>
    <row r="25" spans="1:28" x14ac:dyDescent="0.25">
      <c r="A25" s="90"/>
      <c r="B25" s="94"/>
      <c r="C25" s="94"/>
      <c r="D25" s="94"/>
      <c r="E25" s="94"/>
    </row>
    <row r="26" spans="1:28" ht="15" customHeight="1" x14ac:dyDescent="0.35">
      <c r="A26" s="258" t="s">
        <v>295</v>
      </c>
      <c r="B26" s="257"/>
      <c r="C26" s="257"/>
      <c r="D26" s="257"/>
      <c r="E26" s="257"/>
      <c r="F26" s="257"/>
      <c r="G26" s="257"/>
      <c r="H26" s="257"/>
      <c r="I26" s="257"/>
      <c r="J26" s="257"/>
      <c r="K26" s="257"/>
      <c r="L26" s="259"/>
      <c r="U26" s="89"/>
      <c r="V26" s="89"/>
      <c r="W26" s="89"/>
      <c r="X26" s="89"/>
      <c r="Y26" s="89"/>
      <c r="Z26" s="89"/>
      <c r="AA26" s="89"/>
      <c r="AB26" s="89"/>
    </row>
    <row r="27" spans="1:28" x14ac:dyDescent="0.25">
      <c r="B27" s="94"/>
      <c r="C27" s="94"/>
      <c r="D27" s="94"/>
      <c r="E27" s="94"/>
    </row>
    <row r="28" spans="1:28" x14ac:dyDescent="0.25">
      <c r="A28" s="93" t="s">
        <v>294</v>
      </c>
      <c r="B28" s="90"/>
      <c r="C28" s="92"/>
      <c r="D28" s="90"/>
      <c r="E28" s="90"/>
      <c r="F28" s="91"/>
      <c r="G28" s="91"/>
      <c r="H28" s="91"/>
      <c r="I28" s="91"/>
      <c r="J28" s="91"/>
      <c r="K28" s="91"/>
      <c r="L28" s="91"/>
      <c r="M28" s="91"/>
      <c r="N28" s="91"/>
      <c r="O28" s="91"/>
      <c r="P28" s="91"/>
      <c r="Q28" s="91"/>
      <c r="R28" s="91"/>
      <c r="S28" s="91"/>
      <c r="T28" s="91"/>
      <c r="U28" s="91"/>
      <c r="V28" s="91"/>
      <c r="W28" s="91"/>
      <c r="X28" s="91"/>
      <c r="Y28" s="91"/>
      <c r="Z28" s="91"/>
      <c r="AA28" s="91"/>
      <c r="AB28" s="91"/>
    </row>
    <row r="29" spans="1:28" x14ac:dyDescent="0.25">
      <c r="F29" s="91"/>
      <c r="G29" s="91"/>
      <c r="H29" s="91"/>
      <c r="I29" s="91"/>
      <c r="J29" s="91"/>
      <c r="K29" s="91"/>
      <c r="L29" s="91"/>
      <c r="M29" s="91"/>
      <c r="N29" s="91"/>
      <c r="O29" s="91"/>
      <c r="P29" s="91"/>
      <c r="Q29" s="91"/>
      <c r="R29" s="91"/>
      <c r="S29" s="91"/>
      <c r="T29" s="91"/>
      <c r="U29" s="91"/>
      <c r="V29" s="91"/>
      <c r="W29" s="91"/>
      <c r="X29" s="91"/>
      <c r="Y29" s="91"/>
      <c r="Z29" s="91"/>
      <c r="AA29" s="91"/>
      <c r="AB29" s="91"/>
    </row>
    <row r="30" spans="1:28" x14ac:dyDescent="0.25">
      <c r="F30" s="91"/>
      <c r="G30" s="91"/>
      <c r="H30" s="91"/>
      <c r="I30" s="91"/>
      <c r="J30" s="91"/>
      <c r="K30" s="91"/>
      <c r="L30" s="91"/>
      <c r="M30" s="91"/>
      <c r="N30" s="91"/>
      <c r="O30" s="91"/>
      <c r="P30" s="91"/>
      <c r="Q30" s="91"/>
      <c r="R30" s="91"/>
      <c r="S30" s="91"/>
      <c r="T30" s="91"/>
      <c r="U30" s="91"/>
      <c r="V30" s="91"/>
      <c r="W30" s="91"/>
      <c r="X30" s="91"/>
      <c r="Y30" s="91"/>
      <c r="Z30" s="91"/>
      <c r="AA30" s="91"/>
      <c r="AB30" s="91"/>
    </row>
    <row r="31" spans="1:28" x14ac:dyDescent="0.25">
      <c r="F31" s="91"/>
      <c r="G31" s="91"/>
      <c r="H31" s="91"/>
      <c r="I31" s="91"/>
      <c r="J31" s="91"/>
      <c r="K31" s="91"/>
      <c r="L31" s="91"/>
      <c r="M31" s="91"/>
      <c r="N31" s="91"/>
      <c r="O31" s="91"/>
      <c r="P31" s="91"/>
      <c r="Q31" s="91"/>
      <c r="R31" s="91"/>
      <c r="S31" s="91"/>
      <c r="T31" s="91"/>
      <c r="U31" s="91"/>
      <c r="V31" s="91"/>
      <c r="W31" s="91"/>
      <c r="X31" s="91"/>
      <c r="Y31" s="91"/>
      <c r="Z31" s="91"/>
      <c r="AA31" s="91"/>
      <c r="AB31" s="91"/>
    </row>
    <row r="32" spans="1:28" x14ac:dyDescent="0.25">
      <c r="F32" s="91"/>
      <c r="G32" s="91"/>
      <c r="H32" s="91"/>
      <c r="I32" s="91"/>
      <c r="J32" s="91"/>
      <c r="K32" s="91"/>
      <c r="L32" s="91"/>
      <c r="M32" s="91"/>
      <c r="N32" s="91"/>
      <c r="O32" s="91"/>
      <c r="P32" s="91"/>
      <c r="Q32" s="91"/>
      <c r="R32" s="91"/>
      <c r="S32" s="91"/>
      <c r="T32" s="91"/>
      <c r="U32" s="91"/>
      <c r="V32" s="91"/>
      <c r="W32" s="91"/>
      <c r="X32" s="91"/>
      <c r="Y32" s="91"/>
      <c r="Z32" s="91"/>
      <c r="AA32" s="91"/>
      <c r="AB32" s="91"/>
    </row>
    <row r="33" spans="6:28" x14ac:dyDescent="0.25">
      <c r="F33" s="91"/>
      <c r="G33" s="91"/>
      <c r="H33" s="91"/>
      <c r="I33" s="91"/>
      <c r="J33" s="91"/>
      <c r="K33" s="91"/>
      <c r="L33" s="91"/>
      <c r="M33" s="91"/>
      <c r="N33" s="91"/>
      <c r="O33" s="91"/>
      <c r="P33" s="91"/>
      <c r="Q33" s="91"/>
      <c r="R33" s="91"/>
      <c r="S33" s="91"/>
      <c r="T33" s="91"/>
      <c r="U33" s="91"/>
      <c r="V33" s="91"/>
      <c r="W33" s="91"/>
      <c r="X33" s="91"/>
      <c r="Y33" s="91"/>
      <c r="Z33" s="91"/>
      <c r="AA33" s="91"/>
      <c r="AB33" s="91"/>
    </row>
    <row r="34" spans="6:28" x14ac:dyDescent="0.25">
      <c r="F34" s="91"/>
      <c r="G34" s="91"/>
      <c r="H34" s="91"/>
      <c r="I34" s="91"/>
      <c r="J34" s="91"/>
      <c r="K34" s="91"/>
      <c r="L34" s="91"/>
      <c r="M34" s="91"/>
      <c r="N34" s="91"/>
      <c r="O34" s="91"/>
      <c r="P34" s="91"/>
      <c r="Q34" s="91"/>
      <c r="R34" s="91"/>
      <c r="S34" s="91"/>
      <c r="T34" s="91"/>
      <c r="U34" s="91"/>
      <c r="V34" s="91"/>
      <c r="W34" s="91"/>
      <c r="X34" s="91"/>
      <c r="Y34" s="91"/>
      <c r="Z34" s="91"/>
      <c r="AA34" s="91"/>
      <c r="AB34" s="91"/>
    </row>
    <row r="35" spans="6:28" x14ac:dyDescent="0.25">
      <c r="F35" s="91"/>
      <c r="G35" s="91"/>
      <c r="H35" s="91"/>
      <c r="I35" s="91"/>
      <c r="J35" s="91"/>
      <c r="K35" s="91"/>
      <c r="L35" s="91"/>
      <c r="M35" s="91"/>
      <c r="N35" s="91"/>
      <c r="O35" s="91"/>
      <c r="P35" s="91"/>
      <c r="Q35" s="91"/>
      <c r="R35" s="91"/>
      <c r="S35" s="91"/>
      <c r="T35" s="91"/>
      <c r="U35" s="91"/>
      <c r="V35" s="91"/>
      <c r="W35" s="91"/>
      <c r="X35" s="91"/>
      <c r="Y35" s="91"/>
      <c r="Z35" s="91"/>
      <c r="AA35" s="91"/>
      <c r="AB35" s="91"/>
    </row>
    <row r="36" spans="6:28" x14ac:dyDescent="0.25">
      <c r="F36" s="91"/>
      <c r="G36" s="91"/>
      <c r="H36" s="91"/>
      <c r="I36" s="91"/>
      <c r="J36" s="91"/>
      <c r="K36" s="91"/>
      <c r="L36" s="91"/>
      <c r="M36" s="91"/>
      <c r="N36" s="91"/>
      <c r="O36" s="91"/>
      <c r="P36" s="91"/>
      <c r="Q36" s="91"/>
      <c r="R36" s="91"/>
      <c r="S36" s="91"/>
      <c r="T36" s="91"/>
      <c r="U36" s="91"/>
      <c r="V36" s="91"/>
      <c r="W36" s="91"/>
      <c r="X36" s="91"/>
      <c r="Y36" s="91"/>
      <c r="Z36" s="91"/>
      <c r="AA36" s="91"/>
      <c r="AB36" s="91"/>
    </row>
    <row r="37" spans="6:28" x14ac:dyDescent="0.25">
      <c r="F37" s="91"/>
      <c r="G37" s="91"/>
      <c r="H37" s="91"/>
      <c r="I37" s="91"/>
      <c r="J37" s="91"/>
      <c r="K37" s="91"/>
      <c r="L37" s="91"/>
      <c r="M37" s="91"/>
      <c r="N37" s="91"/>
      <c r="O37" s="91"/>
      <c r="P37" s="91"/>
      <c r="Q37" s="91"/>
      <c r="R37" s="91"/>
      <c r="S37" s="91"/>
      <c r="T37" s="91"/>
      <c r="U37" s="91"/>
      <c r="V37" s="91"/>
      <c r="W37" s="91"/>
      <c r="X37" s="91"/>
      <c r="Y37" s="91"/>
      <c r="Z37" s="91"/>
      <c r="AA37" s="91"/>
      <c r="AB37" s="91"/>
    </row>
    <row r="38" spans="6:28" x14ac:dyDescent="0.25">
      <c r="F38" s="91"/>
      <c r="G38" s="91"/>
      <c r="H38" s="91"/>
      <c r="I38" s="91"/>
      <c r="J38" s="91"/>
      <c r="K38" s="91"/>
      <c r="L38" s="91"/>
      <c r="M38" s="91"/>
      <c r="N38" s="91"/>
      <c r="O38" s="91"/>
      <c r="P38" s="91"/>
      <c r="Q38" s="91"/>
      <c r="R38" s="91"/>
      <c r="S38" s="91"/>
      <c r="T38" s="91"/>
      <c r="U38" s="91"/>
      <c r="V38" s="91"/>
      <c r="W38" s="91"/>
      <c r="X38" s="91"/>
      <c r="Y38" s="91"/>
      <c r="Z38" s="91"/>
      <c r="AA38" s="91"/>
      <c r="AB38" s="91"/>
    </row>
    <row r="39" spans="6:28" x14ac:dyDescent="0.25">
      <c r="F39" s="91"/>
      <c r="G39" s="91"/>
      <c r="H39" s="91"/>
      <c r="I39" s="91"/>
      <c r="J39" s="91"/>
      <c r="K39" s="91"/>
      <c r="L39" s="91"/>
      <c r="M39" s="91"/>
      <c r="N39" s="91"/>
      <c r="O39" s="91"/>
      <c r="P39" s="91"/>
      <c r="Q39" s="91"/>
      <c r="R39" s="91"/>
      <c r="S39" s="91"/>
      <c r="T39" s="91"/>
      <c r="U39" s="91"/>
      <c r="V39" s="91"/>
      <c r="W39" s="91"/>
      <c r="X39" s="91"/>
      <c r="Y39" s="91"/>
      <c r="Z39" s="91"/>
      <c r="AA39" s="91"/>
      <c r="AB39" s="91"/>
    </row>
  </sheetData>
  <mergeCells count="14">
    <mergeCell ref="V7:AB7"/>
    <mergeCell ref="A22:C22"/>
    <mergeCell ref="A23:K23"/>
    <mergeCell ref="A26:L26"/>
    <mergeCell ref="A1:D1"/>
    <mergeCell ref="A2:D2"/>
    <mergeCell ref="A3:D3"/>
    <mergeCell ref="A5:K5"/>
    <mergeCell ref="A7:A8"/>
    <mergeCell ref="B7:B8"/>
    <mergeCell ref="C7:C8"/>
    <mergeCell ref="D7:D8"/>
    <mergeCell ref="E7:G7"/>
    <mergeCell ref="I7:T7"/>
  </mergeCells>
  <pageMargins left="0.39370078740157483" right="0.39370078740157483" top="0.39370078740157483" bottom="0.39370078740157483" header="0" footer="0"/>
  <pageSetup paperSize="9" scale="6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2</vt:i4>
      </vt:variant>
    </vt:vector>
  </HeadingPairs>
  <TitlesOfParts>
    <vt:vector size="9" baseType="lpstr">
      <vt:lpstr>SC-GGA-ET-05-A-01</vt:lpstr>
      <vt:lpstr>Hoja1</vt:lpstr>
      <vt:lpstr>Costos</vt:lpstr>
      <vt:lpstr>Estudio</vt:lpstr>
      <vt:lpstr>Gastos</vt:lpstr>
      <vt:lpstr>Aux 3p y Anexo</vt:lpstr>
      <vt:lpstr>ICC (2)</vt:lpstr>
      <vt:lpstr>'ICC (2)'!Área_de_impresión</vt:lpstr>
      <vt:lpstr>'SC-GGA-ET-05-A-01'!Área_de_impresión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Gaston Martinez Barbiero</dc:creator>
  <cp:lastModifiedBy>Escobar, Marcelo</cp:lastModifiedBy>
  <cp:lastPrinted>2018-09-06T19:40:26Z</cp:lastPrinted>
  <dcterms:created xsi:type="dcterms:W3CDTF">2017-11-14T11:44:45Z</dcterms:created>
  <dcterms:modified xsi:type="dcterms:W3CDTF">2018-12-14T15:21:29Z</dcterms:modified>
</cp:coreProperties>
</file>