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embeddings/oleObject1.bin" ContentType="application/vnd.openxmlformats-officedocument.oleObject"/>
  <Override PartName="/xl/drawings/drawing5.xml" ContentType="application/vnd.openxmlformats-officedocument.drawing+xml"/>
  <Override PartName="/xl/embeddings/oleObject2.bin" ContentType="application/vnd.openxmlformats-officedocument.oleObject"/>
  <Override PartName="/xl/drawings/drawing6.xml" ContentType="application/vnd.openxmlformats-officedocument.drawing+xml"/>
  <Override PartName="/xl/embeddings/oleObject3.bin" ContentType="application/vnd.openxmlformats-officedocument.oleObject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embeddings/oleObject4.bin" ContentType="application/vnd.openxmlformats-officedocument.oleObject"/>
  <Override PartName="/xl/drawings/drawing8.xml" ContentType="application/vnd.openxmlformats-officedocument.drawing+xml"/>
  <Override PartName="/xl/embeddings/oleObject5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NDRES\Desktop\ID - Mitre Etapa 1\"/>
    </mc:Choice>
  </mc:AlternateContent>
  <bookViews>
    <workbookView xWindow="0" yWindow="0" windowWidth="20490" windowHeight="7755" tabRatio="903" activeTab="3"/>
  </bookViews>
  <sheets>
    <sheet name="RENGLON 1" sheetId="52" r:id="rId1"/>
    <sheet name="REGLON 2" sheetId="89" r:id="rId2"/>
    <sheet name="REGLON 3" sheetId="90" r:id="rId3"/>
    <sheet name="Planilla" sheetId="84" r:id="rId4"/>
    <sheet name="Listado Materiales" sheetId="85" r:id="rId5"/>
    <sheet name="Equipos" sheetId="86" r:id="rId6"/>
    <sheet name="MO UOCRA" sheetId="87" r:id="rId7"/>
    <sheet name="ex GRUPO 2" sheetId="47" state="hidden" r:id="rId8"/>
    <sheet name="ex GRUPO 4" sheetId="49" state="hidden" r:id="rId9"/>
    <sheet name="ex GRUPO 6" sheetId="50" state="hidden" r:id="rId10"/>
    <sheet name="COSTEO" sheetId="53" state="hidden" r:id="rId11"/>
    <sheet name="Resumen" sheetId="54" state="hidden" r:id="rId12"/>
    <sheet name="Hoja1" sheetId="55" state="hidden" r:id="rId13"/>
    <sheet name="Nivel general y capítulos" sheetId="56" state="hidden" r:id="rId14"/>
    <sheet name="Costos INTI" sheetId="57" state="hidden" r:id="rId15"/>
    <sheet name="UNIV" sheetId="18" state="hidden" r:id="rId16"/>
    <sheet name="UNIV (2)" sheetId="29" state="hidden" r:id="rId17"/>
  </sheets>
  <externalReferences>
    <externalReference r:id="rId18"/>
    <externalReference r:id="rId19"/>
  </externalReferences>
  <definedNames>
    <definedName name="_msoanchor_1">#REF!</definedName>
    <definedName name="A" localSheetId="7">#REF!</definedName>
    <definedName name="A" localSheetId="8">#REF!</definedName>
    <definedName name="A" localSheetId="9">#REF!</definedName>
    <definedName name="A" localSheetId="0">#REF!</definedName>
    <definedName name="A">#REF!</definedName>
    <definedName name="_xlnm.Print_Area" localSheetId="7">'ex GRUPO 2'!$A$1:$F$18</definedName>
    <definedName name="_xlnm.Print_Area" localSheetId="8">'ex GRUPO 4'!$A$1:$F$18</definedName>
    <definedName name="_xlnm.Print_Area" localSheetId="9">'ex GRUPO 6'!$A$1:$F$18</definedName>
    <definedName name="_xlnm.Print_Area" localSheetId="6">'MO UOCRA'!$A$1:$G$46</definedName>
    <definedName name="_xlnm.Print_Area" localSheetId="3">Planilla!$A$1:$G$54</definedName>
    <definedName name="_xlnm.Print_Area" localSheetId="0">'RENGLON 1'!$A$1:$H$29</definedName>
    <definedName name="_xlnm.Print_Area" localSheetId="15">UNIV!$A$1:$F$36</definedName>
    <definedName name="_xlnm.Print_Area" localSheetId="16">'UNIV (2)'!$A$1:$F$38</definedName>
    <definedName name="asfalto" localSheetId="7">#REF!</definedName>
    <definedName name="asfalto" localSheetId="8">#REF!</definedName>
    <definedName name="asfalto" localSheetId="9">#REF!</definedName>
    <definedName name="asfalto" localSheetId="0">#REF!</definedName>
    <definedName name="asfalto" localSheetId="15">#REF!</definedName>
    <definedName name="asfalto" localSheetId="16">#REF!</definedName>
    <definedName name="asfalto">#REF!</definedName>
    <definedName name="_xlnm.Database" localSheetId="7">#REF!</definedName>
    <definedName name="_xlnm.Database" localSheetId="8">#REF!</definedName>
    <definedName name="_xlnm.Database" localSheetId="9">#REF!</definedName>
    <definedName name="_xlnm.Database" localSheetId="0">#REF!</definedName>
    <definedName name="_xlnm.Database" localSheetId="15">#REF!</definedName>
    <definedName name="_xlnm.Database" localSheetId="16">#REF!</definedName>
    <definedName name="_xlnm.Database">#REF!</definedName>
    <definedName name="CANT_COMIDA" localSheetId="7">#REF!</definedName>
    <definedName name="CANT_COMIDA" localSheetId="8">#REF!</definedName>
    <definedName name="CANT_COMIDA" localSheetId="9">#REF!</definedName>
    <definedName name="CANT_COMIDA" localSheetId="0">#REF!</definedName>
    <definedName name="CANT_COMIDA" localSheetId="15">#REF!</definedName>
    <definedName name="CANT_COMIDA" localSheetId="16">#REF!</definedName>
    <definedName name="CANT_COMIDA">#REF!</definedName>
    <definedName name="CG_MANZONI" localSheetId="7">#REF!</definedName>
    <definedName name="CG_MANZONI" localSheetId="8">#REF!</definedName>
    <definedName name="CG_MANZONI" localSheetId="9">#REF!</definedName>
    <definedName name="CG_MANZONI" localSheetId="0">#REF!</definedName>
    <definedName name="CG_MANZONI" localSheetId="15">#REF!</definedName>
    <definedName name="CG_MANZONI" localSheetId="16">#REF!</definedName>
    <definedName name="CG_MANZONI">#REF!</definedName>
    <definedName name="CG_VELAZQUEZ" localSheetId="7">#REF!</definedName>
    <definedName name="CG_VELAZQUEZ" localSheetId="8">#REF!</definedName>
    <definedName name="CG_VELAZQUEZ" localSheetId="9">#REF!</definedName>
    <definedName name="CG_VELAZQUEZ" localSheetId="0">#REF!</definedName>
    <definedName name="CG_VELAZQUEZ" localSheetId="15">#REF!</definedName>
    <definedName name="CG_VELAZQUEZ" localSheetId="16">#REF!</definedName>
    <definedName name="CG_VELAZQUEZ">#REF!</definedName>
    <definedName name="COEF">'[1]Anexo K'!$F$41</definedName>
    <definedName name="COMIDA_BERTOGLIO" localSheetId="7">#REF!</definedName>
    <definedName name="COMIDA_BERTOGLIO" localSheetId="8">#REF!</definedName>
    <definedName name="COMIDA_BERTOGLIO" localSheetId="9">#REF!</definedName>
    <definedName name="COMIDA_BERTOGLIO" localSheetId="0">#REF!</definedName>
    <definedName name="COMIDA_BERTOGLIO" localSheetId="15">#REF!</definedName>
    <definedName name="COMIDA_BERTOGLIO" localSheetId="16">#REF!</definedName>
    <definedName name="COMIDA_BERTOGLIO">#REF!</definedName>
    <definedName name="COMIDA_DIEGO" localSheetId="7">#REF!</definedName>
    <definedName name="COMIDA_DIEGO" localSheetId="8">#REF!</definedName>
    <definedName name="COMIDA_DIEGO" localSheetId="9">#REF!</definedName>
    <definedName name="COMIDA_DIEGO" localSheetId="0">#REF!</definedName>
    <definedName name="COMIDA_DIEGO" localSheetId="15">#REF!</definedName>
    <definedName name="COMIDA_DIEGO" localSheetId="16">#REF!</definedName>
    <definedName name="COMIDA_DIEGO">#REF!</definedName>
    <definedName name="COMIDA_GABRIEL" localSheetId="7">#REF!</definedName>
    <definedName name="COMIDA_GABRIEL" localSheetId="8">#REF!</definedName>
    <definedName name="COMIDA_GABRIEL" localSheetId="9">#REF!</definedName>
    <definedName name="COMIDA_GABRIEL" localSheetId="0">#REF!</definedName>
    <definedName name="COMIDA_GABRIEL" localSheetId="15">#REF!</definedName>
    <definedName name="COMIDA_GABRIEL" localSheetId="16">#REF!</definedName>
    <definedName name="COMIDA_GABRIEL">#REF!</definedName>
    <definedName name="COMIDA_MANZONI" localSheetId="7">#REF!</definedName>
    <definedName name="COMIDA_MANZONI" localSheetId="8">#REF!</definedName>
    <definedName name="COMIDA_MANZONI" localSheetId="9">#REF!</definedName>
    <definedName name="COMIDA_MANZONI" localSheetId="0">#REF!</definedName>
    <definedName name="COMIDA_MANZONI" localSheetId="15">#REF!</definedName>
    <definedName name="COMIDA_MANZONI" localSheetId="16">#REF!</definedName>
    <definedName name="COMIDA_MANZONI">#REF!</definedName>
    <definedName name="COMIDA_SEBA" localSheetId="7">#REF!</definedName>
    <definedName name="COMIDA_SEBA" localSheetId="8">#REF!</definedName>
    <definedName name="COMIDA_SEBA" localSheetId="9">#REF!</definedName>
    <definedName name="COMIDA_SEBA" localSheetId="0">#REF!</definedName>
    <definedName name="COMIDA_SEBA" localSheetId="15">#REF!</definedName>
    <definedName name="COMIDA_SEBA" localSheetId="16">#REF!</definedName>
    <definedName name="COMIDA_SEBA">#REF!</definedName>
    <definedName name="COMIDA_SUAREZ" localSheetId="7">#REF!</definedName>
    <definedName name="COMIDA_SUAREZ" localSheetId="8">#REF!</definedName>
    <definedName name="COMIDA_SUAREZ" localSheetId="9">#REF!</definedName>
    <definedName name="COMIDA_SUAREZ" localSheetId="0">#REF!</definedName>
    <definedName name="COMIDA_SUAREZ" localSheetId="15">#REF!</definedName>
    <definedName name="COMIDA_SUAREZ" localSheetId="16">#REF!</definedName>
    <definedName name="COMIDA_SUAREZ">#REF!</definedName>
    <definedName name="COMIDA_TOTI" localSheetId="7">#REF!</definedName>
    <definedName name="COMIDA_TOTI" localSheetId="8">#REF!</definedName>
    <definedName name="COMIDA_TOTI" localSheetId="9">#REF!</definedName>
    <definedName name="COMIDA_TOTI" localSheetId="0">#REF!</definedName>
    <definedName name="COMIDA_TOTI" localSheetId="15">#REF!</definedName>
    <definedName name="COMIDA_TOTI" localSheetId="16">#REF!</definedName>
    <definedName name="COMIDA_TOTI">#REF!</definedName>
    <definedName name="COMITENTE" localSheetId="7">'[1]Anexo L'!#REF!</definedName>
    <definedName name="COMITENTE" localSheetId="8">'[1]Anexo L'!#REF!</definedName>
    <definedName name="COMITENTE" localSheetId="9">'[1]Anexo L'!#REF!</definedName>
    <definedName name="COMITENTE" localSheetId="0">'[1]Anexo L'!#REF!</definedName>
    <definedName name="COMITENTE" localSheetId="15">'[1]Anexo L'!#REF!</definedName>
    <definedName name="COMITENTE" localSheetId="16">'[1]Anexo L'!#REF!</definedName>
    <definedName name="COMITENTE">'[1]Anexo L'!#REF!</definedName>
    <definedName name="COSTO_COMBUSTIBLE" localSheetId="7">#REF!</definedName>
    <definedName name="COSTO_COMBUSTIBLE" localSheetId="8">#REF!</definedName>
    <definedName name="COSTO_COMBUSTIBLE" localSheetId="9">#REF!</definedName>
    <definedName name="COSTO_COMBUSTIBLE" localSheetId="0">#REF!</definedName>
    <definedName name="COSTO_COMBUSTIBLE" localSheetId="15">#REF!</definedName>
    <definedName name="COSTO_COMBUSTIBLE" localSheetId="16">#REF!</definedName>
    <definedName name="COSTO_COMBUSTIBLE">#REF!</definedName>
    <definedName name="COSTO_COMIDA" localSheetId="7">#REF!</definedName>
    <definedName name="COSTO_COMIDA" localSheetId="8">#REF!</definedName>
    <definedName name="COSTO_COMIDA" localSheetId="9">#REF!</definedName>
    <definedName name="COSTO_COMIDA" localSheetId="0">#REF!</definedName>
    <definedName name="COSTO_COMIDA" localSheetId="15">#REF!</definedName>
    <definedName name="COSTO_COMIDA" localSheetId="16">#REF!</definedName>
    <definedName name="COSTO_COMIDA">#REF!</definedName>
    <definedName name="ei" localSheetId="7">#REF!</definedName>
    <definedName name="ei" localSheetId="8">#REF!</definedName>
    <definedName name="ei" localSheetId="9">#REF!</definedName>
    <definedName name="ei" localSheetId="0">#REF!</definedName>
    <definedName name="ei">#REF!</definedName>
    <definedName name="GASOIL" localSheetId="7">#REF!</definedName>
    <definedName name="GASOIL" localSheetId="8">#REF!</definedName>
    <definedName name="GASOIL" localSheetId="9">#REF!</definedName>
    <definedName name="GASOIL" localSheetId="0">#REF!</definedName>
    <definedName name="GASOIL" localSheetId="15">#REF!</definedName>
    <definedName name="GASOIL" localSheetId="16">#REF!</definedName>
    <definedName name="GASOIL">#REF!</definedName>
    <definedName name="GASOIL_VILLA" localSheetId="7">#REF!</definedName>
    <definedName name="GASOIL_VILLA" localSheetId="8">#REF!</definedName>
    <definedName name="GASOIL_VILLA" localSheetId="9">#REF!</definedName>
    <definedName name="GASOIL_VILLA" localSheetId="0">#REF!</definedName>
    <definedName name="GASOIL_VILLA" localSheetId="15">#REF!</definedName>
    <definedName name="GASOIL_VILLA" localSheetId="16">#REF!</definedName>
    <definedName name="GASOIL_VILLA">#REF!</definedName>
    <definedName name="LG_MANZONI" localSheetId="7">#REF!</definedName>
    <definedName name="LG_MANZONI" localSheetId="8">#REF!</definedName>
    <definedName name="LG_MANZONI" localSheetId="9">#REF!</definedName>
    <definedName name="LG_MANZONI" localSheetId="0">#REF!</definedName>
    <definedName name="LG_MANZONI" localSheetId="15">#REF!</definedName>
    <definedName name="LG_MANZONI" localSheetId="16">#REF!</definedName>
    <definedName name="LG_MANZONI">#REF!</definedName>
    <definedName name="LG_VELAZQUEZ" localSheetId="7">#REF!</definedName>
    <definedName name="LG_VELAZQUEZ" localSheetId="8">#REF!</definedName>
    <definedName name="LG_VELAZQUEZ" localSheetId="9">#REF!</definedName>
    <definedName name="LG_VELAZQUEZ" localSheetId="0">#REF!</definedName>
    <definedName name="LG_VELAZQUEZ" localSheetId="15">#REF!</definedName>
    <definedName name="LG_VELAZQUEZ" localSheetId="16">#REF!</definedName>
    <definedName name="LG_VELAZQUEZ">#REF!</definedName>
    <definedName name="OBRADOR_DOLORES" localSheetId="7">#REF!</definedName>
    <definedName name="OBRADOR_DOLORES" localSheetId="8">#REF!</definedName>
    <definedName name="OBRADOR_DOLORES" localSheetId="9">#REF!</definedName>
    <definedName name="OBRADOR_DOLORES" localSheetId="0">#REF!</definedName>
    <definedName name="OBRADOR_DOLORES" localSheetId="15">#REF!</definedName>
    <definedName name="OBRADOR_DOLORES" localSheetId="16">#REF!</definedName>
    <definedName name="OBRADOR_DOLORES">#REF!</definedName>
    <definedName name="PRECIO_GASOIL" localSheetId="7">#REF!</definedName>
    <definedName name="PRECIO_GASOIL" localSheetId="8">#REF!</definedName>
    <definedName name="PRECIO_GASOIL" localSheetId="9">#REF!</definedName>
    <definedName name="PRECIO_GASOIL" localSheetId="0">#REF!</definedName>
    <definedName name="PRECIO_GASOIL" localSheetId="15">#REF!</definedName>
    <definedName name="PRECIO_GASOIL" localSheetId="16">#REF!</definedName>
    <definedName name="PRECIO_GASOIL">#REF!</definedName>
    <definedName name="PRECIO_GASOIL_VENTA" localSheetId="7">#REF!</definedName>
    <definedName name="PRECIO_GASOIL_VENTA" localSheetId="8">#REF!</definedName>
    <definedName name="PRECIO_GASOIL_VENTA" localSheetId="9">#REF!</definedName>
    <definedName name="PRECIO_GASOIL_VENTA" localSheetId="0">#REF!</definedName>
    <definedName name="PRECIO_GASOIL_VENTA" localSheetId="15">#REF!</definedName>
    <definedName name="PRECIO_GASOIL_VENTA" localSheetId="16">#REF!</definedName>
    <definedName name="PRECIO_GASOIL_VENTA">#REF!</definedName>
    <definedName name="PRECIOGASOIL" localSheetId="7">#REF!</definedName>
    <definedName name="PRECIOGASOIL" localSheetId="8">#REF!</definedName>
    <definedName name="PRECIOGASOIL" localSheetId="9">#REF!</definedName>
    <definedName name="PRECIOGASOIL" localSheetId="0">#REF!</definedName>
    <definedName name="PRECIOGASOIL" localSheetId="15">#REF!</definedName>
    <definedName name="PRECIOGASOIL" localSheetId="16">#REF!</definedName>
    <definedName name="PRECIOGASOIL">#REF!</definedName>
    <definedName name="Print_Area" localSheetId="7">#REF!</definedName>
    <definedName name="Print_Area" localSheetId="8">#REF!</definedName>
    <definedName name="Print_Area" localSheetId="9">#REF!</definedName>
    <definedName name="Print_Area" localSheetId="0">#REF!</definedName>
    <definedName name="Print_Area" localSheetId="15">#REF!</definedName>
    <definedName name="Print_Area" localSheetId="16">#REF!</definedName>
    <definedName name="Print_Area">#REF!</definedName>
    <definedName name="_xlnm.Print_Titles" localSheetId="7">'ex GRUPO 2'!$4:$11</definedName>
    <definedName name="_xlnm.Print_Titles" localSheetId="8">'ex GRUPO 4'!$4:$11</definedName>
    <definedName name="_xlnm.Print_Titles" localSheetId="9">'ex GRUPO 6'!$4:$11</definedName>
    <definedName name="_xlnm.Print_Titles" localSheetId="0">'RENGLON 1'!$4:$12</definedName>
    <definedName name="_xlnm.Print_Titles" localSheetId="15">UNIV!$1:$7</definedName>
    <definedName name="_xlnm.Print_Titles" localSheetId="16">'UNIV (2)'!$1:$7</definedName>
  </definedNames>
  <calcPr calcId="162913"/>
</workbook>
</file>

<file path=xl/calcChain.xml><?xml version="1.0" encoding="utf-8"?>
<calcChain xmlns="http://schemas.openxmlformats.org/spreadsheetml/2006/main">
  <c r="B6" i="84" l="1"/>
  <c r="B5" i="84"/>
  <c r="E15" i="90"/>
  <c r="G15" i="90" s="1"/>
  <c r="G21" i="90" s="1"/>
  <c r="G20" i="90"/>
  <c r="G19" i="90"/>
  <c r="G18" i="90"/>
  <c r="G17" i="90"/>
  <c r="G16" i="90"/>
  <c r="B15" i="90"/>
  <c r="B16" i="90" s="1"/>
  <c r="B17" i="90" s="1"/>
  <c r="B18" i="90" s="1"/>
  <c r="B19" i="90" s="1"/>
  <c r="B20" i="90" s="1"/>
  <c r="G14" i="90"/>
  <c r="G23" i="52"/>
  <c r="G22" i="89"/>
  <c r="E15" i="89"/>
  <c r="G21" i="89"/>
  <c r="G20" i="89"/>
  <c r="G19" i="89"/>
  <c r="G18" i="89"/>
  <c r="G17" i="89"/>
  <c r="G16" i="89"/>
  <c r="G15" i="89"/>
  <c r="B15" i="89"/>
  <c r="B16" i="89" s="1"/>
  <c r="B17" i="89" s="1"/>
  <c r="B18" i="89" s="1"/>
  <c r="B19" i="89" s="1"/>
  <c r="B20" i="89" s="1"/>
  <c r="B21" i="89" s="1"/>
  <c r="G14" i="89"/>
  <c r="G22" i="90" l="1"/>
  <c r="G23" i="90" s="1"/>
  <c r="G23" i="89"/>
  <c r="G24" i="89" s="1"/>
  <c r="B6" i="87" l="1"/>
  <c r="C4" i="86"/>
  <c r="B6" i="85"/>
  <c r="F18" i="87" l="1"/>
  <c r="D18" i="87"/>
  <c r="E17" i="87"/>
  <c r="F15" i="87"/>
  <c r="D15" i="87"/>
  <c r="G13" i="87"/>
  <c r="G40" i="87" s="1"/>
  <c r="F13" i="87"/>
  <c r="F40" i="87" s="1"/>
  <c r="E13" i="87"/>
  <c r="E18" i="87" s="1"/>
  <c r="D13" i="87"/>
  <c r="D17" i="87" s="1"/>
  <c r="B8" i="87"/>
  <c r="O27" i="86"/>
  <c r="N27" i="86"/>
  <c r="P27" i="86" s="1"/>
  <c r="I27" i="86"/>
  <c r="J27" i="86" s="1"/>
  <c r="F27" i="86"/>
  <c r="O26" i="86"/>
  <c r="P26" i="86" s="1"/>
  <c r="N26" i="86"/>
  <c r="I26" i="86"/>
  <c r="J26" i="86" s="1"/>
  <c r="F26" i="86"/>
  <c r="N25" i="86"/>
  <c r="I25" i="86"/>
  <c r="J25" i="86" s="1"/>
  <c r="F25" i="86"/>
  <c r="O24" i="86"/>
  <c r="P24" i="86" s="1"/>
  <c r="N24" i="86"/>
  <c r="I24" i="86"/>
  <c r="J24" i="86" s="1"/>
  <c r="F24" i="86"/>
  <c r="N23" i="86"/>
  <c r="O23" i="86" s="1"/>
  <c r="P23" i="86" s="1"/>
  <c r="F23" i="86"/>
  <c r="I23" i="86" s="1"/>
  <c r="J23" i="86" s="1"/>
  <c r="N22" i="86"/>
  <c r="O22" i="86" s="1"/>
  <c r="P22" i="86" s="1"/>
  <c r="F22" i="86"/>
  <c r="I22" i="86" s="1"/>
  <c r="N21" i="86"/>
  <c r="O21" i="86" s="1"/>
  <c r="P21" i="86" s="1"/>
  <c r="F21" i="86"/>
  <c r="I21" i="86" s="1"/>
  <c r="J21" i="86" s="1"/>
  <c r="N20" i="86"/>
  <c r="O20" i="86" s="1"/>
  <c r="P20" i="86" s="1"/>
  <c r="I20" i="86"/>
  <c r="J20" i="86" s="1"/>
  <c r="F20" i="86"/>
  <c r="O19" i="86"/>
  <c r="P19" i="86" s="1"/>
  <c r="N19" i="86"/>
  <c r="I19" i="86"/>
  <c r="J19" i="86" s="1"/>
  <c r="F19" i="86"/>
  <c r="O18" i="86"/>
  <c r="P18" i="86" s="1"/>
  <c r="N18" i="86"/>
  <c r="F18" i="86"/>
  <c r="I18" i="86" s="1"/>
  <c r="J18" i="86" s="1"/>
  <c r="N17" i="86"/>
  <c r="O17" i="86" s="1"/>
  <c r="P17" i="86" s="1"/>
  <c r="F17" i="86"/>
  <c r="I17" i="86" s="1"/>
  <c r="J17" i="86" s="1"/>
  <c r="N16" i="86"/>
  <c r="O16" i="86" s="1"/>
  <c r="P16" i="86" s="1"/>
  <c r="I16" i="86"/>
  <c r="J16" i="86" s="1"/>
  <c r="F16" i="86"/>
  <c r="O15" i="86"/>
  <c r="P15" i="86" s="1"/>
  <c r="N15" i="86"/>
  <c r="I15" i="86"/>
  <c r="J15" i="86" s="1"/>
  <c r="F15" i="86"/>
  <c r="O14" i="86"/>
  <c r="P14" i="86" s="1"/>
  <c r="N14" i="86"/>
  <c r="F14" i="86"/>
  <c r="I14" i="86" s="1"/>
  <c r="J14" i="86" s="1"/>
  <c r="N13" i="86"/>
  <c r="O13" i="86" s="1"/>
  <c r="P13" i="86" s="1"/>
  <c r="F13" i="86"/>
  <c r="I13" i="86" s="1"/>
  <c r="J13" i="86" s="1"/>
  <c r="N12" i="86"/>
  <c r="O12" i="86" s="1"/>
  <c r="P12" i="86" s="1"/>
  <c r="I12" i="86"/>
  <c r="J12" i="86" s="1"/>
  <c r="F12" i="86"/>
  <c r="C5" i="86"/>
  <c r="B7" i="85"/>
  <c r="F46" i="84"/>
  <c r="F45" i="84"/>
  <c r="F44" i="84"/>
  <c r="G43" i="84" s="1"/>
  <c r="F40" i="84"/>
  <c r="F39" i="84"/>
  <c r="F38" i="84"/>
  <c r="F37" i="84"/>
  <c r="F36" i="84"/>
  <c r="G35" i="84" s="1"/>
  <c r="F32" i="84"/>
  <c r="G31" i="84" s="1"/>
  <c r="F29" i="84"/>
  <c r="F28" i="84"/>
  <c r="F27" i="84"/>
  <c r="F26" i="84"/>
  <c r="F25" i="84"/>
  <c r="G23" i="84" s="1"/>
  <c r="F24" i="84"/>
  <c r="F20" i="84"/>
  <c r="F19" i="84"/>
  <c r="F18" i="84"/>
  <c r="F17" i="84"/>
  <c r="F16" i="84"/>
  <c r="G15" i="84"/>
  <c r="A6" i="84"/>
  <c r="A8" i="87" s="1"/>
  <c r="O25" i="86" l="1"/>
  <c r="P25" i="86" s="1"/>
  <c r="D14" i="87"/>
  <c r="D19" i="87" s="1"/>
  <c r="D24" i="87" s="1"/>
  <c r="E15" i="87"/>
  <c r="F17" i="87"/>
  <c r="D40" i="87"/>
  <c r="E14" i="87"/>
  <c r="E40" i="87"/>
  <c r="F14" i="87"/>
  <c r="F19" i="87" s="1"/>
  <c r="A7" i="85"/>
  <c r="B5" i="86"/>
  <c r="D22" i="87"/>
  <c r="D20" i="87"/>
  <c r="D23" i="87"/>
  <c r="G49" i="84"/>
  <c r="F24" i="87"/>
  <c r="F23" i="87"/>
  <c r="F22" i="87"/>
  <c r="F21" i="87"/>
  <c r="F20" i="87"/>
  <c r="G14" i="87"/>
  <c r="G15" i="87"/>
  <c r="G17" i="87"/>
  <c r="G18" i="87"/>
  <c r="F25" i="87" l="1"/>
  <c r="F38" i="87" s="1"/>
  <c r="E19" i="87"/>
  <c r="G19" i="87"/>
  <c r="G21" i="87" s="1"/>
  <c r="D21" i="87"/>
  <c r="D25" i="87" s="1"/>
  <c r="G22" i="87"/>
  <c r="F37" i="87"/>
  <c r="F36" i="87"/>
  <c r="F35" i="87"/>
  <c r="F33" i="87"/>
  <c r="F32" i="87"/>
  <c r="F31" i="87"/>
  <c r="F29" i="87"/>
  <c r="F28" i="87"/>
  <c r="F27" i="87"/>
  <c r="G50" i="84"/>
  <c r="G51" i="84" s="1"/>
  <c r="D29" i="87" l="1"/>
  <c r="D28" i="87"/>
  <c r="D38" i="87"/>
  <c r="D26" i="87"/>
  <c r="D35" i="87"/>
  <c r="D34" i="87"/>
  <c r="D37" i="87"/>
  <c r="D36" i="87"/>
  <c r="D31" i="87"/>
  <c r="D30" i="87"/>
  <c r="D33" i="87"/>
  <c r="D32" i="87"/>
  <c r="D27" i="87"/>
  <c r="G23" i="87"/>
  <c r="E21" i="87"/>
  <c r="E24" i="87"/>
  <c r="E20" i="87"/>
  <c r="E22" i="87"/>
  <c r="E23" i="87"/>
  <c r="G20" i="87"/>
  <c r="G24" i="87"/>
  <c r="F26" i="87"/>
  <c r="F39" i="87" s="1"/>
  <c r="F41" i="87" s="1"/>
  <c r="F42" i="87" s="1"/>
  <c r="F30" i="87"/>
  <c r="F34" i="87"/>
  <c r="G53" i="84"/>
  <c r="G54" i="84" s="1"/>
  <c r="G52" i="84"/>
  <c r="B15" i="52"/>
  <c r="B16" i="52" s="1"/>
  <c r="B17" i="52" s="1"/>
  <c r="B18" i="52" s="1"/>
  <c r="B19" i="52" s="1"/>
  <c r="D39" i="87" l="1"/>
  <c r="D41" i="87" s="1"/>
  <c r="D42" i="87" s="1"/>
  <c r="E25" i="87"/>
  <c r="G25" i="87"/>
  <c r="B20" i="52"/>
  <c r="G21" i="52"/>
  <c r="G20" i="52"/>
  <c r="G17" i="52"/>
  <c r="G35" i="87" l="1"/>
  <c r="G31" i="87"/>
  <c r="G27" i="87"/>
  <c r="G34" i="87"/>
  <c r="G26" i="87"/>
  <c r="G38" i="87"/>
  <c r="G30" i="87"/>
  <c r="G37" i="87"/>
  <c r="G33" i="87"/>
  <c r="G29" i="87"/>
  <c r="G36" i="87"/>
  <c r="G32" i="87"/>
  <c r="G28" i="87"/>
  <c r="E37" i="87"/>
  <c r="E33" i="87"/>
  <c r="E29" i="87"/>
  <c r="E36" i="87"/>
  <c r="E32" i="87"/>
  <c r="E28" i="87"/>
  <c r="E34" i="87"/>
  <c r="E26" i="87"/>
  <c r="E35" i="87"/>
  <c r="E31" i="87"/>
  <c r="E27" i="87"/>
  <c r="E38" i="87"/>
  <c r="E30" i="87"/>
  <c r="B21" i="52"/>
  <c r="B22" i="52" s="1"/>
  <c r="E39" i="87" l="1"/>
  <c r="E41" i="87" s="1"/>
  <c r="E42" i="87" s="1"/>
  <c r="G39" i="87"/>
  <c r="G41" i="87" s="1"/>
  <c r="G42" i="87" s="1"/>
  <c r="E15" i="52"/>
  <c r="G16" i="52" s="1"/>
  <c r="Q6" i="53" l="1"/>
  <c r="M6" i="53"/>
  <c r="I6" i="53"/>
  <c r="G22" i="52" l="1"/>
  <c r="G19" i="52"/>
  <c r="G18" i="52"/>
  <c r="G24" i="52" l="1"/>
  <c r="G25" i="52" s="1"/>
  <c r="Q4" i="53" l="1"/>
  <c r="M4" i="53"/>
  <c r="I4" i="53"/>
  <c r="V20" i="53" l="1"/>
  <c r="V21" i="53"/>
  <c r="V22" i="53"/>
  <c r="V23" i="53"/>
  <c r="V24" i="53"/>
  <c r="V25" i="53"/>
  <c r="V27" i="53"/>
  <c r="V28" i="53"/>
  <c r="V31" i="53"/>
  <c r="U38" i="53" l="1"/>
  <c r="U62" i="53"/>
  <c r="Q43" i="53"/>
  <c r="Q40" i="53"/>
  <c r="M43" i="53"/>
  <c r="M40" i="53"/>
  <c r="I43" i="53"/>
  <c r="I42" i="53"/>
  <c r="U42" i="53" s="1"/>
  <c r="I41" i="53"/>
  <c r="U41" i="53" s="1"/>
  <c r="I40" i="53"/>
  <c r="U40" i="53" s="1"/>
  <c r="E5" i="54" l="1"/>
  <c r="E4" i="54"/>
  <c r="E3" i="54"/>
  <c r="D69" i="53" l="1"/>
  <c r="W14" i="53"/>
  <c r="S14" i="53"/>
  <c r="O14" i="53"/>
  <c r="K14" i="53"/>
  <c r="S38" i="53"/>
  <c r="O38" i="53"/>
  <c r="K38" i="53"/>
  <c r="G38" i="53"/>
  <c r="N13" i="54"/>
  <c r="W38" i="53" l="1"/>
  <c r="E14" i="57"/>
  <c r="F14" i="57" s="1"/>
  <c r="D17" i="57"/>
  <c r="E17" i="57" s="1"/>
  <c r="F17" i="57" s="1"/>
  <c r="D16" i="57"/>
  <c r="E16" i="57" s="1"/>
  <c r="F16" i="57" s="1"/>
  <c r="D14" i="57"/>
  <c r="D13" i="57"/>
  <c r="E13" i="57" s="1"/>
  <c r="F13" i="57" s="1"/>
  <c r="F21" i="57" s="1"/>
  <c r="D12" i="57"/>
  <c r="E12" i="57" s="1"/>
  <c r="F12" i="57" s="1"/>
  <c r="F20" i="57" s="1"/>
  <c r="F22" i="57" s="1"/>
  <c r="D21" i="53"/>
  <c r="D27" i="53" s="1"/>
  <c r="D20" i="53"/>
  <c r="D26" i="53" s="1"/>
  <c r="G40" i="53" l="1"/>
  <c r="G41" i="53"/>
  <c r="G42" i="53"/>
  <c r="E43" i="53" l="1"/>
  <c r="K14" i="54"/>
  <c r="P11" i="56"/>
  <c r="P10" i="56"/>
  <c r="P9" i="56"/>
  <c r="G43" i="53" l="1"/>
  <c r="U43" i="53"/>
  <c r="G34" i="55"/>
  <c r="I34" i="55" s="1"/>
  <c r="G31" i="55"/>
  <c r="I31" i="55" s="1"/>
  <c r="G35" i="55"/>
  <c r="I35" i="55" s="1"/>
  <c r="G32" i="55"/>
  <c r="I32" i="55" s="1"/>
  <c r="G36" i="55"/>
  <c r="I36" i="55" s="1"/>
  <c r="N14" i="54"/>
  <c r="G33" i="55"/>
  <c r="I33" i="55" s="1"/>
  <c r="G30" i="55"/>
  <c r="M14" i="54"/>
  <c r="I5" i="55"/>
  <c r="I6" i="55"/>
  <c r="I7" i="55"/>
  <c r="I8" i="55"/>
  <c r="I9" i="55"/>
  <c r="I10" i="55"/>
  <c r="I11" i="55"/>
  <c r="I12" i="55"/>
  <c r="I13" i="55"/>
  <c r="I14" i="55"/>
  <c r="I15" i="55"/>
  <c r="G23" i="55"/>
  <c r="G24" i="55"/>
  <c r="I24" i="55" s="1"/>
  <c r="G25" i="55"/>
  <c r="I25" i="55" s="1"/>
  <c r="G26" i="55"/>
  <c r="I26" i="55" s="1"/>
  <c r="G27" i="55"/>
  <c r="I27" i="55" s="1"/>
  <c r="G28" i="55"/>
  <c r="I28" i="55"/>
  <c r="G29" i="55"/>
  <c r="I29" i="55"/>
  <c r="I30" i="55" l="1"/>
  <c r="H30" i="55"/>
  <c r="H23" i="55"/>
  <c r="I23" i="55"/>
  <c r="W43" i="53"/>
  <c r="S43" i="53"/>
  <c r="O43" i="53"/>
  <c r="K43" i="53"/>
  <c r="W41" i="53"/>
  <c r="W42" i="53"/>
  <c r="W70" i="53"/>
  <c r="W67" i="53"/>
  <c r="W66" i="53"/>
  <c r="W65" i="53"/>
  <c r="W64" i="53"/>
  <c r="W63" i="53"/>
  <c r="W61" i="53"/>
  <c r="U5" i="53"/>
  <c r="U28" i="53" l="1"/>
  <c r="U18" i="53"/>
  <c r="U49" i="53" s="1"/>
  <c r="U23" i="53"/>
  <c r="W23" i="53" s="1"/>
  <c r="U25" i="53"/>
  <c r="U10" i="53"/>
  <c r="U71" i="53"/>
  <c r="W71" i="53" s="1"/>
  <c r="U59" i="53"/>
  <c r="W59" i="53" s="1"/>
  <c r="U68" i="53"/>
  <c r="W68" i="53" s="1"/>
  <c r="S70" i="53"/>
  <c r="S67" i="53"/>
  <c r="S66" i="53"/>
  <c r="S65" i="53"/>
  <c r="S64" i="53"/>
  <c r="S63" i="53"/>
  <c r="S61" i="53"/>
  <c r="S42" i="53"/>
  <c r="S41" i="53"/>
  <c r="S40" i="53"/>
  <c r="Q5" i="53"/>
  <c r="O70" i="53"/>
  <c r="O69" i="53"/>
  <c r="O67" i="53"/>
  <c r="O66" i="53"/>
  <c r="O65" i="53"/>
  <c r="O64" i="53"/>
  <c r="O63" i="53"/>
  <c r="O61" i="53"/>
  <c r="O42" i="53"/>
  <c r="O41" i="53"/>
  <c r="O40" i="53"/>
  <c r="M5" i="53"/>
  <c r="F4" i="54" s="1"/>
  <c r="C92" i="53"/>
  <c r="K70" i="53"/>
  <c r="K67" i="53"/>
  <c r="K66" i="53"/>
  <c r="K65" i="53"/>
  <c r="K64" i="53"/>
  <c r="K63" i="53"/>
  <c r="K61" i="53"/>
  <c r="K42" i="53"/>
  <c r="K41" i="53"/>
  <c r="K40" i="53"/>
  <c r="G70" i="53"/>
  <c r="G68" i="53"/>
  <c r="G67" i="53"/>
  <c r="G66" i="53"/>
  <c r="G65" i="53"/>
  <c r="G63" i="53"/>
  <c r="G61" i="53"/>
  <c r="D60" i="53"/>
  <c r="U50" i="53" l="1"/>
  <c r="W49" i="53"/>
  <c r="F5" i="54"/>
  <c r="Q23" i="53"/>
  <c r="S23" i="53" s="1"/>
  <c r="U60" i="53"/>
  <c r="U13" i="53"/>
  <c r="U11" i="53"/>
  <c r="M10" i="53"/>
  <c r="M23" i="53"/>
  <c r="O23" i="53" s="1"/>
  <c r="M60" i="53"/>
  <c r="O60" i="53" s="1"/>
  <c r="Q10" i="53"/>
  <c r="U31" i="53"/>
  <c r="W31" i="53" s="1"/>
  <c r="U29" i="53"/>
  <c r="W29" i="53" s="1"/>
  <c r="U30" i="53"/>
  <c r="W30" i="53" s="1"/>
  <c r="W13" i="53"/>
  <c r="W11" i="53"/>
  <c r="U27" i="53"/>
  <c r="W27" i="53" s="1"/>
  <c r="U26" i="53"/>
  <c r="W26" i="53" s="1"/>
  <c r="U21" i="53"/>
  <c r="W21" i="53" s="1"/>
  <c r="U20" i="53"/>
  <c r="W20" i="53" s="1"/>
  <c r="U19" i="53"/>
  <c r="W19" i="53" s="1"/>
  <c r="U22" i="53"/>
  <c r="W22" i="53" s="1"/>
  <c r="Q39" i="53"/>
  <c r="M39" i="53"/>
  <c r="O39" i="53" s="1"/>
  <c r="R62" i="53"/>
  <c r="S62" i="53" s="1"/>
  <c r="G69" i="53"/>
  <c r="W69" i="53"/>
  <c r="K69" i="53"/>
  <c r="N62" i="53"/>
  <c r="O62" i="53" s="1"/>
  <c r="S69" i="53"/>
  <c r="W40" i="53"/>
  <c r="W60" i="53"/>
  <c r="Q68" i="53"/>
  <c r="S68" i="53" s="1"/>
  <c r="Q71" i="53"/>
  <c r="S71" i="53" s="1"/>
  <c r="M68" i="53"/>
  <c r="O68" i="53" s="1"/>
  <c r="M71" i="53"/>
  <c r="O71" i="53" s="1"/>
  <c r="D92" i="53"/>
  <c r="D85" i="53" s="1"/>
  <c r="Q28" i="53" l="1"/>
  <c r="Q25" i="53"/>
  <c r="Q18" i="53"/>
  <c r="W15" i="53"/>
  <c r="M18" i="53"/>
  <c r="M37" i="53" s="1"/>
  <c r="O37" i="53" s="1"/>
  <c r="M25" i="53"/>
  <c r="M28" i="53"/>
  <c r="U51" i="53"/>
  <c r="W50" i="53"/>
  <c r="S39" i="53"/>
  <c r="Q60" i="53"/>
  <c r="S60" i="53" s="1"/>
  <c r="M59" i="53"/>
  <c r="O59" i="53" s="1"/>
  <c r="M49" i="53"/>
  <c r="M27" i="53"/>
  <c r="O27" i="53" s="1"/>
  <c r="M26" i="53"/>
  <c r="O26" i="53" s="1"/>
  <c r="M13" i="53"/>
  <c r="O13" i="53" s="1"/>
  <c r="M11" i="53"/>
  <c r="O11" i="53" s="1"/>
  <c r="M20" i="53"/>
  <c r="O20" i="53" s="1"/>
  <c r="M21" i="53"/>
  <c r="O21" i="53" s="1"/>
  <c r="M19" i="53"/>
  <c r="O19" i="53" s="1"/>
  <c r="M22" i="53"/>
  <c r="O22" i="53" s="1"/>
  <c r="M31" i="53"/>
  <c r="O31" i="53" s="1"/>
  <c r="M30" i="53"/>
  <c r="O30" i="53" s="1"/>
  <c r="M29" i="53"/>
  <c r="O29" i="53" s="1"/>
  <c r="Q13" i="53"/>
  <c r="S13" i="53" s="1"/>
  <c r="Q11" i="53"/>
  <c r="S11" i="53" s="1"/>
  <c r="M44" i="53"/>
  <c r="O44" i="53" s="1"/>
  <c r="O46" i="53" s="1"/>
  <c r="D89" i="53"/>
  <c r="D88" i="53"/>
  <c r="D86" i="53"/>
  <c r="D87" i="53"/>
  <c r="D90" i="53"/>
  <c r="D91" i="53"/>
  <c r="O78" i="53"/>
  <c r="D84" i="53"/>
  <c r="I5" i="53"/>
  <c r="U52" i="53" l="1"/>
  <c r="W52" i="53" s="1"/>
  <c r="W51" i="53"/>
  <c r="I23" i="53"/>
  <c r="F3" i="54"/>
  <c r="I10" i="53"/>
  <c r="Q22" i="53"/>
  <c r="S22" i="53" s="1"/>
  <c r="Q21" i="53"/>
  <c r="S21" i="53" s="1"/>
  <c r="Q19" i="53"/>
  <c r="S19" i="53" s="1"/>
  <c r="Q20" i="53"/>
  <c r="Q26" i="53"/>
  <c r="S26" i="53" s="1"/>
  <c r="Q27" i="53"/>
  <c r="S27" i="53" s="1"/>
  <c r="W54" i="53"/>
  <c r="Q30" i="53"/>
  <c r="S30" i="53" s="1"/>
  <c r="Q29" i="53"/>
  <c r="S29" i="53" s="1"/>
  <c r="Q31" i="53"/>
  <c r="S31" i="53" s="1"/>
  <c r="S20" i="53"/>
  <c r="Q37" i="53"/>
  <c r="Q59" i="53"/>
  <c r="S59" i="53" s="1"/>
  <c r="S78" i="53" s="1"/>
  <c r="Q49" i="53"/>
  <c r="M50" i="53"/>
  <c r="O49" i="53"/>
  <c r="S15" i="53"/>
  <c r="O15" i="53"/>
  <c r="I39" i="53"/>
  <c r="J62" i="53"/>
  <c r="K62" i="53" s="1"/>
  <c r="I68" i="53"/>
  <c r="K68" i="53" s="1"/>
  <c r="I71" i="53"/>
  <c r="K71" i="53" s="1"/>
  <c r="E5" i="53"/>
  <c r="F6" i="54" l="1"/>
  <c r="Q24" i="53"/>
  <c r="I28" i="53"/>
  <c r="I30" i="53" s="1"/>
  <c r="K30" i="53" s="1"/>
  <c r="I18" i="53"/>
  <c r="I21" i="53" s="1"/>
  <c r="K21" i="53" s="1"/>
  <c r="I25" i="53"/>
  <c r="I27" i="53" s="1"/>
  <c r="K27" i="53" s="1"/>
  <c r="K39" i="53"/>
  <c r="S37" i="53"/>
  <c r="Q44" i="53" s="1"/>
  <c r="Q50" i="53"/>
  <c r="S49" i="53"/>
  <c r="I60" i="53"/>
  <c r="K60" i="53" s="1"/>
  <c r="M51" i="53"/>
  <c r="O50" i="53"/>
  <c r="I29" i="53"/>
  <c r="K29" i="53" s="1"/>
  <c r="I31" i="53"/>
  <c r="K31" i="53" s="1"/>
  <c r="I13" i="53"/>
  <c r="K13" i="53" s="1"/>
  <c r="I11" i="53"/>
  <c r="K11" i="53" s="1"/>
  <c r="I19" i="53"/>
  <c r="K19" i="53" s="1"/>
  <c r="I26" i="53"/>
  <c r="K26" i="53" s="1"/>
  <c r="M24" i="53"/>
  <c r="O24" i="53" s="1"/>
  <c r="O32" i="53" s="1"/>
  <c r="O34" i="53" s="1"/>
  <c r="E28" i="53"/>
  <c r="E10" i="53"/>
  <c r="E60" i="53" s="1"/>
  <c r="E18" i="53"/>
  <c r="S24" i="53"/>
  <c r="S32" i="53" s="1"/>
  <c r="S34" i="53" s="1"/>
  <c r="U24" i="53"/>
  <c r="W24" i="53" s="1"/>
  <c r="W32" i="53" s="1"/>
  <c r="W34" i="53" s="1"/>
  <c r="I24" i="53"/>
  <c r="K24" i="53" s="1"/>
  <c r="E25" i="53"/>
  <c r="E39" i="53"/>
  <c r="G39" i="53" s="1"/>
  <c r="G62" i="53"/>
  <c r="W62" i="53" s="1"/>
  <c r="W78" i="53" s="1"/>
  <c r="F8" i="54"/>
  <c r="J10" i="54" s="1"/>
  <c r="E71" i="53"/>
  <c r="G71" i="53" s="1"/>
  <c r="G14" i="53"/>
  <c r="E64" i="53"/>
  <c r="G64" i="53" s="1"/>
  <c r="G60" i="53"/>
  <c r="E24" i="53"/>
  <c r="G24" i="53" s="1"/>
  <c r="E6" i="53"/>
  <c r="U6" i="53" s="1"/>
  <c r="D14" i="50"/>
  <c r="U39" i="53" l="1"/>
  <c r="W39" i="53" s="1"/>
  <c r="G14" i="52"/>
  <c r="E6" i="54"/>
  <c r="E7" i="54" s="1"/>
  <c r="S44" i="53"/>
  <c r="S46" i="53" s="1"/>
  <c r="I37" i="53"/>
  <c r="I59" i="53"/>
  <c r="K59" i="53" s="1"/>
  <c r="K78" i="53" s="1"/>
  <c r="I49" i="53"/>
  <c r="I20" i="53"/>
  <c r="K20" i="53" s="1"/>
  <c r="K15" i="53"/>
  <c r="I22" i="53"/>
  <c r="K22" i="53" s="1"/>
  <c r="K23" i="53"/>
  <c r="Q51" i="53"/>
  <c r="S50" i="53"/>
  <c r="E59" i="53"/>
  <c r="G59" i="53" s="1"/>
  <c r="G78" i="53" s="1"/>
  <c r="E49" i="53"/>
  <c r="M52" i="53"/>
  <c r="O52" i="53" s="1"/>
  <c r="O51" i="53"/>
  <c r="E13" i="53"/>
  <c r="G13" i="53" s="1"/>
  <c r="E11" i="53"/>
  <c r="G11" i="53" s="1"/>
  <c r="E26" i="53"/>
  <c r="E31" i="53"/>
  <c r="G31" i="53" s="1"/>
  <c r="E30" i="53"/>
  <c r="G30" i="53" s="1"/>
  <c r="E29" i="53"/>
  <c r="G29" i="53" s="1"/>
  <c r="E23" i="53"/>
  <c r="G23" i="53" s="1"/>
  <c r="E19" i="53"/>
  <c r="E37" i="53" s="1"/>
  <c r="G37" i="53" s="1"/>
  <c r="E22" i="53"/>
  <c r="E21" i="53"/>
  <c r="G21" i="53" s="1"/>
  <c r="E20" i="53"/>
  <c r="G20" i="53" s="1"/>
  <c r="G22" i="53"/>
  <c r="I15" i="50"/>
  <c r="I16" i="49"/>
  <c r="J14" i="47"/>
  <c r="G26" i="53" l="1"/>
  <c r="E27" i="53"/>
  <c r="G27" i="53" s="1"/>
  <c r="K32" i="53"/>
  <c r="O54" i="53"/>
  <c r="O56" i="53" s="1"/>
  <c r="Z78" i="53"/>
  <c r="K34" i="53"/>
  <c r="K37" i="53"/>
  <c r="I44" i="53" s="1"/>
  <c r="K44" i="53" s="1"/>
  <c r="K46" i="53" s="1"/>
  <c r="U37" i="53"/>
  <c r="W37" i="53" s="1"/>
  <c r="I50" i="53"/>
  <c r="K49" i="53"/>
  <c r="Q52" i="53"/>
  <c r="S52" i="53" s="1"/>
  <c r="S51" i="53"/>
  <c r="E50" i="53"/>
  <c r="G49" i="53"/>
  <c r="G15" i="53"/>
  <c r="Z15" i="53" s="1"/>
  <c r="G19" i="53"/>
  <c r="G32" i="53"/>
  <c r="G34" i="53" s="1"/>
  <c r="F21" i="55"/>
  <c r="F19" i="55"/>
  <c r="E44" i="53"/>
  <c r="G44" i="53" s="1"/>
  <c r="G46" i="53" s="1"/>
  <c r="D15" i="50"/>
  <c r="F15" i="50" s="1"/>
  <c r="F14" i="50"/>
  <c r="F13" i="50"/>
  <c r="F15" i="49"/>
  <c r="F14" i="49"/>
  <c r="F13" i="49"/>
  <c r="F15" i="47"/>
  <c r="F14" i="47"/>
  <c r="F13" i="47"/>
  <c r="Z34" i="53" l="1"/>
  <c r="Z32" i="53"/>
  <c r="O80" i="53"/>
  <c r="N78" i="53"/>
  <c r="U44" i="53"/>
  <c r="W44" i="53" s="1"/>
  <c r="W46" i="53" s="1"/>
  <c r="S54" i="53"/>
  <c r="S56" i="53" s="1"/>
  <c r="I51" i="53"/>
  <c r="K50" i="53"/>
  <c r="E51" i="53"/>
  <c r="G50" i="53"/>
  <c r="F17" i="55"/>
  <c r="I17" i="55" s="1"/>
  <c r="J17" i="55" s="1"/>
  <c r="I21" i="55"/>
  <c r="J21" i="55" s="1"/>
  <c r="G21" i="55"/>
  <c r="I19" i="55"/>
  <c r="J19" i="55" s="1"/>
  <c r="G19" i="55"/>
  <c r="G15" i="52"/>
  <c r="F16" i="50"/>
  <c r="F17" i="50" s="1"/>
  <c r="F18" i="50" s="1"/>
  <c r="F16" i="49"/>
  <c r="F17" i="49" s="1"/>
  <c r="F18" i="49" s="1"/>
  <c r="F16" i="47"/>
  <c r="F17" i="47" s="1"/>
  <c r="F33" i="29"/>
  <c r="S80" i="53" l="1"/>
  <c r="S86" i="53" s="1"/>
  <c r="R78" i="53"/>
  <c r="O84" i="53"/>
  <c r="O86" i="53"/>
  <c r="O89" i="53"/>
  <c r="O85" i="53"/>
  <c r="O88" i="53"/>
  <c r="O90" i="53"/>
  <c r="O87" i="53"/>
  <c r="O91" i="53"/>
  <c r="W56" i="53"/>
  <c r="V78" i="53" s="1"/>
  <c r="Z46" i="53"/>
  <c r="I52" i="53"/>
  <c r="K52" i="53" s="1"/>
  <c r="K51" i="53"/>
  <c r="E52" i="53"/>
  <c r="G52" i="53" s="1"/>
  <c r="G51" i="53"/>
  <c r="G17" i="55"/>
  <c r="F18" i="47"/>
  <c r="F16" i="29"/>
  <c r="F35" i="29"/>
  <c r="F32" i="29"/>
  <c r="F31" i="29"/>
  <c r="F30" i="29"/>
  <c r="F28" i="29"/>
  <c r="F27" i="29"/>
  <c r="F26" i="29"/>
  <c r="F25" i="29"/>
  <c r="D24" i="29"/>
  <c r="F24" i="29" s="1"/>
  <c r="F21" i="29"/>
  <c r="D20" i="29"/>
  <c r="D19" i="29"/>
  <c r="F18" i="29"/>
  <c r="F14" i="29"/>
  <c r="F12" i="29"/>
  <c r="F10" i="29"/>
  <c r="F9" i="29"/>
  <c r="O8" i="29"/>
  <c r="O7" i="29"/>
  <c r="O6" i="29"/>
  <c r="O5" i="29"/>
  <c r="W80" i="53" l="1"/>
  <c r="W86" i="53" s="1"/>
  <c r="S91" i="53"/>
  <c r="S88" i="53"/>
  <c r="S87" i="53"/>
  <c r="S89" i="53"/>
  <c r="S90" i="53"/>
  <c r="S84" i="53"/>
  <c r="S85" i="53"/>
  <c r="O92" i="53"/>
  <c r="O94" i="53" s="1"/>
  <c r="K54" i="53"/>
  <c r="K56" i="53" s="1"/>
  <c r="G54" i="53"/>
  <c r="G56" i="53" s="1"/>
  <c r="O9" i="29"/>
  <c r="F20" i="29"/>
  <c r="F19" i="29"/>
  <c r="G21" i="29" s="1"/>
  <c r="H21" i="29" s="1"/>
  <c r="W89" i="53" l="1"/>
  <c r="W87" i="53"/>
  <c r="O95" i="53"/>
  <c r="O96" i="53" s="1"/>
  <c r="H4" i="54" s="1"/>
  <c r="F18" i="55" s="1"/>
  <c r="G4" i="54"/>
  <c r="W90" i="53"/>
  <c r="W84" i="53"/>
  <c r="W92" i="53" s="1"/>
  <c r="W94" i="53" s="1"/>
  <c r="W88" i="53"/>
  <c r="W91" i="53"/>
  <c r="W85" i="53"/>
  <c r="S92" i="53"/>
  <c r="S94" i="53" s="1"/>
  <c r="G80" i="53"/>
  <c r="G86" i="53" s="1"/>
  <c r="F78" i="53"/>
  <c r="Z54" i="53"/>
  <c r="K80" i="53"/>
  <c r="J78" i="53"/>
  <c r="Z56" i="53"/>
  <c r="F36" i="29"/>
  <c r="G38" i="29" s="1"/>
  <c r="E14" i="18"/>
  <c r="F14" i="18" s="1"/>
  <c r="G15" i="18" s="1"/>
  <c r="F31" i="18"/>
  <c r="E30" i="18"/>
  <c r="F30" i="18" s="1"/>
  <c r="E27" i="18"/>
  <c r="F27" i="18" s="1"/>
  <c r="F25" i="18"/>
  <c r="D23" i="18"/>
  <c r="D19" i="18"/>
  <c r="D18" i="18"/>
  <c r="K15" i="18"/>
  <c r="K14" i="18"/>
  <c r="E12" i="18"/>
  <c r="F12" i="18" s="1"/>
  <c r="O8" i="18"/>
  <c r="O7" i="18"/>
  <c r="O6" i="18"/>
  <c r="O5" i="18"/>
  <c r="I4" i="54" l="1"/>
  <c r="S95" i="53"/>
  <c r="S96" i="53" s="1"/>
  <c r="H5" i="54" s="1"/>
  <c r="F20" i="55" s="1"/>
  <c r="I20" i="55" s="1"/>
  <c r="J20" i="55" s="1"/>
  <c r="G5" i="54"/>
  <c r="G85" i="53"/>
  <c r="G90" i="53"/>
  <c r="G91" i="53"/>
  <c r="G89" i="53"/>
  <c r="G88" i="53"/>
  <c r="G84" i="53"/>
  <c r="G87" i="53"/>
  <c r="I18" i="55"/>
  <c r="J18" i="55" s="1"/>
  <c r="G18" i="55"/>
  <c r="K91" i="53"/>
  <c r="Z80" i="53"/>
  <c r="K89" i="53"/>
  <c r="K86" i="53"/>
  <c r="K84" i="53"/>
  <c r="K88" i="53"/>
  <c r="K85" i="53"/>
  <c r="K90" i="53"/>
  <c r="K87" i="53"/>
  <c r="W95" i="53"/>
  <c r="O9" i="18"/>
  <c r="F37" i="29"/>
  <c r="F38" i="29" s="1"/>
  <c r="G20" i="55" l="1"/>
  <c r="I5" i="54"/>
  <c r="G92" i="53"/>
  <c r="G94" i="53" s="1"/>
  <c r="K92" i="53"/>
  <c r="W96" i="53"/>
  <c r="E18" i="18"/>
  <c r="F18" i="18" s="1"/>
  <c r="G95" i="53" l="1"/>
  <c r="G96" i="53" s="1"/>
  <c r="H6" i="54" s="1"/>
  <c r="F22" i="55" s="1"/>
  <c r="G22" i="55" s="1"/>
  <c r="G6" i="54"/>
  <c r="K94" i="53"/>
  <c r="G3" i="54" s="1"/>
  <c r="G7" i="54" s="1"/>
  <c r="Z92" i="53"/>
  <c r="M3" i="54"/>
  <c r="E10" i="18"/>
  <c r="F10" i="18" s="1"/>
  <c r="E33" i="18"/>
  <c r="F33" i="18" s="1"/>
  <c r="I22" i="55" l="1"/>
  <c r="J22" i="55" s="1"/>
  <c r="I6" i="54"/>
  <c r="K95" i="53"/>
  <c r="Z94" i="53"/>
  <c r="M7" i="54"/>
  <c r="M15" i="54" s="1"/>
  <c r="N3" i="54"/>
  <c r="E23" i="18"/>
  <c r="F23" i="18" s="1"/>
  <c r="E19" i="18"/>
  <c r="F19" i="18" s="1"/>
  <c r="E9" i="18"/>
  <c r="E29" i="18"/>
  <c r="F29" i="18" s="1"/>
  <c r="E17" i="18"/>
  <c r="F17" i="18" s="1"/>
  <c r="K96" i="53" l="1"/>
  <c r="Z95" i="53"/>
  <c r="N15" i="54"/>
  <c r="E26" i="18"/>
  <c r="F26" i="18" s="1"/>
  <c r="F9" i="18"/>
  <c r="E24" i="18"/>
  <c r="F24" i="18" s="1"/>
  <c r="E20" i="18"/>
  <c r="F20" i="18" s="1"/>
  <c r="H3" i="54" l="1"/>
  <c r="Z96" i="53"/>
  <c r="G20" i="18"/>
  <c r="H20" i="18" s="1"/>
  <c r="F34" i="18"/>
  <c r="F16" i="55" l="1"/>
  <c r="I3" i="54"/>
  <c r="H7" i="54"/>
  <c r="J9" i="54" s="1"/>
  <c r="G36" i="18"/>
  <c r="F35" i="18"/>
  <c r="F36" i="18" s="1"/>
  <c r="H16" i="55" l="1"/>
  <c r="I16" i="55"/>
  <c r="J16" i="55" s="1"/>
  <c r="G16" i="55"/>
</calcChain>
</file>

<file path=xl/comments1.xml><?xml version="1.0" encoding="utf-8"?>
<comments xmlns="http://schemas.openxmlformats.org/spreadsheetml/2006/main">
  <authors>
    <author>Grau, Benjamín</author>
  </authors>
  <commentList>
    <comment ref="K14" authorId="0" shapeId="0">
      <text>
        <r>
          <rPr>
            <b/>
            <sz val="9"/>
            <color indexed="81"/>
            <rFont val="Tahoma"/>
            <family val="2"/>
          </rPr>
          <t>Grau, Benjamín:</t>
        </r>
        <r>
          <rPr>
            <sz val="9"/>
            <color indexed="81"/>
            <rFont val="Tahoma"/>
            <family val="2"/>
          </rPr>
          <t xml:space="preserve">
Indec</t>
        </r>
      </text>
    </comment>
  </commentList>
</comments>
</file>

<file path=xl/sharedStrings.xml><?xml version="1.0" encoding="utf-8"?>
<sst xmlns="http://schemas.openxmlformats.org/spreadsheetml/2006/main" count="953" uniqueCount="532">
  <si>
    <t>PLANILLA DE COTIZACIÓN</t>
  </si>
  <si>
    <t>Item</t>
  </si>
  <si>
    <t>Rubro</t>
  </si>
  <si>
    <t>Unid.</t>
  </si>
  <si>
    <t>Precio Unitario</t>
  </si>
  <si>
    <t>Cantidad</t>
  </si>
  <si>
    <t>Precio Total</t>
  </si>
  <si>
    <t>1.1</t>
  </si>
  <si>
    <t>2.1</t>
  </si>
  <si>
    <t>4.1</t>
  </si>
  <si>
    <t>4.2</t>
  </si>
  <si>
    <t>4.3</t>
  </si>
  <si>
    <t>5.1</t>
  </si>
  <si>
    <t>5.2</t>
  </si>
  <si>
    <t>5.3</t>
  </si>
  <si>
    <t>5.4</t>
  </si>
  <si>
    <t>5.5</t>
  </si>
  <si>
    <t>6.1</t>
  </si>
  <si>
    <t>7.1</t>
  </si>
  <si>
    <t>8.1</t>
  </si>
  <si>
    <t>ml</t>
  </si>
  <si>
    <t>m</t>
  </si>
  <si>
    <t>SUBTOTAL SIN IVA</t>
  </si>
  <si>
    <t>IVA 21%</t>
  </si>
  <si>
    <t>TOTAL</t>
  </si>
  <si>
    <t>OBRA:</t>
  </si>
  <si>
    <t>TAREAS PREVIAS</t>
  </si>
  <si>
    <t>1.2</t>
  </si>
  <si>
    <t>Obrador</t>
  </si>
  <si>
    <t>m2</t>
  </si>
  <si>
    <t>gl</t>
  </si>
  <si>
    <t>ANDENES</t>
  </si>
  <si>
    <t>ACCESOS</t>
  </si>
  <si>
    <t>CERRAMIENTO</t>
  </si>
  <si>
    <t>u</t>
  </si>
  <si>
    <t>Bordes reglamentarios</t>
  </si>
  <si>
    <t>6.2</t>
  </si>
  <si>
    <t>6.3</t>
  </si>
  <si>
    <t>6.4</t>
  </si>
  <si>
    <t>6.5</t>
  </si>
  <si>
    <t>7.2</t>
  </si>
  <si>
    <t>Proyecto ejecutivo</t>
  </si>
  <si>
    <t>INGENIERÍA DE OBRA, PROYECTO EJECUTIVO</t>
  </si>
  <si>
    <t>BOLETERIA</t>
  </si>
  <si>
    <t>Demolición anden existente</t>
  </si>
  <si>
    <t xml:space="preserve">refugio </t>
  </si>
  <si>
    <t>ancho</t>
  </si>
  <si>
    <t>largo</t>
  </si>
  <si>
    <t>Construcción de anden nuevo</t>
  </si>
  <si>
    <t>Ejecución de solados existentes</t>
  </si>
  <si>
    <t>Alambrado de 5 hilos entrevías</t>
  </si>
  <si>
    <t>4.7</t>
  </si>
  <si>
    <t>Limpieza, demoliciones, vallado, señalización</t>
  </si>
  <si>
    <t>refugio+boleteria</t>
  </si>
  <si>
    <t>ILUMINACIÓN</t>
  </si>
  <si>
    <t>U.</t>
  </si>
  <si>
    <t>Proyecto y Documentación (INCLUIDO EN EL PROYECTO DE APEADERO)</t>
  </si>
  <si>
    <t>Reacondicionamiento de desagües</t>
  </si>
  <si>
    <t>Protecciones</t>
  </si>
  <si>
    <t>Construcción de Cañeros</t>
  </si>
  <si>
    <t>5.6</t>
  </si>
  <si>
    <t>Provisión y colocación de columnas  y artefactos de iluminación en andenes</t>
  </si>
  <si>
    <t>Provisión y colocación de artefactos de iluminación en refugio y boletería</t>
  </si>
  <si>
    <t xml:space="preserve">      </t>
  </si>
  <si>
    <t>LÍNEA SARMIENTO</t>
  </si>
  <si>
    <t>Ejecución rampa para personas con movilidad reducida</t>
  </si>
  <si>
    <t>Colocación de Equipamiento y Señaletica</t>
  </si>
  <si>
    <t>U</t>
  </si>
  <si>
    <t>accesos</t>
  </si>
  <si>
    <t>long</t>
  </si>
  <si>
    <t>def</t>
  </si>
  <si>
    <t>7.3</t>
  </si>
  <si>
    <t>7.4</t>
  </si>
  <si>
    <t>ADECUACION DE ESTACIONES Y APEADEROS- ETAPA III</t>
  </si>
  <si>
    <t>Provisión y colocación de artefactos de iluminación en refugio y boletería-NO CORERSPONDE</t>
  </si>
  <si>
    <t>Cableado y Tablero Central, incluye Sala de Tablero Eléctrico.</t>
  </si>
  <si>
    <t>UNIVERSIDAD DE LUJAN KM 64,900</t>
  </si>
  <si>
    <t>Construcción de boletería</t>
  </si>
  <si>
    <t>6.6</t>
  </si>
  <si>
    <t>Ejecución de Paso Peatonal</t>
  </si>
  <si>
    <t>Firma Apoderado del Oferente</t>
  </si>
  <si>
    <t>SON Pesos …………………………………………….…………………………………………………………….IVA INCLUIDO.</t>
  </si>
  <si>
    <t>ADECUACION DE ESTACIONES Y APEADEROS- SECTOR 2</t>
  </si>
  <si>
    <t>Reacondicionamiento General</t>
  </si>
  <si>
    <t>REFUGIOS</t>
  </si>
  <si>
    <t>Cableado y Tablero Central, incluye Cabina de Tablero Eléctrico.</t>
  </si>
  <si>
    <t>Ejecución de solados</t>
  </si>
  <si>
    <t>MORENO-MERCEDES</t>
  </si>
  <si>
    <t>Detalle</t>
  </si>
  <si>
    <t>Nº</t>
  </si>
  <si>
    <t>Inspeccion e informe detallado de Obras de Arte</t>
  </si>
  <si>
    <t>Informe de Diagnostico Estructural</t>
  </si>
  <si>
    <t>GRUPO 2</t>
  </si>
  <si>
    <t>OBRAS DE ARTE DE L&gt;5m, RAMAL ONCE-MORENO</t>
  </si>
  <si>
    <t>GRUPO 4</t>
  </si>
  <si>
    <t>OBRAS DE ARTE DE L&gt;5m, RAMAL MORENO-MERCEDES</t>
  </si>
  <si>
    <t xml:space="preserve">Especificacion Tecnica de Propuesta de Intervencion y Mantenimiento. </t>
  </si>
  <si>
    <t>GRUPO 6</t>
  </si>
  <si>
    <t>OBRAS DE ARTE DE L&gt;5m, RAMAL MERLO-LOBOS</t>
  </si>
  <si>
    <t>INSPECCIÓN DETALLADA DE OBRAS DE ARTE Y DIAGNOSTICO ESTRUCTURAL</t>
  </si>
  <si>
    <t>Descripciòn</t>
  </si>
  <si>
    <t>UM</t>
  </si>
  <si>
    <t>Cant</t>
  </si>
  <si>
    <t>Costo Unit</t>
  </si>
  <si>
    <t>Costo Total</t>
  </si>
  <si>
    <t>Obs</t>
  </si>
  <si>
    <t xml:space="preserve">GRUPO </t>
  </si>
  <si>
    <t>Plazo (d)</t>
  </si>
  <si>
    <t>Ayudante</t>
  </si>
  <si>
    <t>Medio Of</t>
  </si>
  <si>
    <t>Oficial</t>
  </si>
  <si>
    <t>Of Esp</t>
  </si>
  <si>
    <t>Cuadrilla Asistencia</t>
  </si>
  <si>
    <t>ms</t>
  </si>
  <si>
    <t>Plazo (ms)</t>
  </si>
  <si>
    <t>1 Of Gral</t>
  </si>
  <si>
    <t>Materiales</t>
  </si>
  <si>
    <t>Equipos</t>
  </si>
  <si>
    <t>Indirectos</t>
  </si>
  <si>
    <t>incidencia</t>
  </si>
  <si>
    <t>hr</t>
  </si>
  <si>
    <t>Mano de Obra Directa</t>
  </si>
  <si>
    <t>Total MdO Directa</t>
  </si>
  <si>
    <t>Mano de Obra Indirecta</t>
  </si>
  <si>
    <t>Staff Tareas de Campo</t>
  </si>
  <si>
    <t>Director de Tareas de Campo</t>
  </si>
  <si>
    <t>Tècnico Especializado END ( Tintas penetrantes y ultrasonidos</t>
  </si>
  <si>
    <t>Asistente de campo - Ing Jr</t>
  </si>
  <si>
    <t>Tècnico de Seg e Hig</t>
  </si>
  <si>
    <t>Viàticos y Estadìas</t>
  </si>
  <si>
    <t>Gl</t>
  </si>
  <si>
    <t>en anàlisis indir</t>
  </si>
  <si>
    <t>Total MdO Indirecta</t>
  </si>
  <si>
    <t>Staff Tareas de Ensayo</t>
  </si>
  <si>
    <t>Director Tareas de Laboratorio</t>
  </si>
  <si>
    <t>Técnico laboratorista</t>
  </si>
  <si>
    <t>Asistente - Ing Jr part time</t>
  </si>
  <si>
    <t>Staff Tareas de Gabinete</t>
  </si>
  <si>
    <t>Director Tareas de Ingenierìa</t>
  </si>
  <si>
    <t>Ing civil senior para càlculos, verificaciones y revisiòn</t>
  </si>
  <si>
    <t>Ing Sr. Part time</t>
  </si>
  <si>
    <t>Ing civil junior para càlculos, esquemas y planos</t>
  </si>
  <si>
    <t>Topógrafo</t>
  </si>
  <si>
    <t>Estudios de Suelos</t>
  </si>
  <si>
    <t>un</t>
  </si>
  <si>
    <t>Mantenimiento de equipos</t>
  </si>
  <si>
    <t>Delegado gremial</t>
  </si>
  <si>
    <t>Equipamiento para inspección</t>
  </si>
  <si>
    <t>Computadoras</t>
  </si>
  <si>
    <t>Smartphone</t>
  </si>
  <si>
    <t>Modems</t>
  </si>
  <si>
    <t>Cámara de fotos</t>
  </si>
  <si>
    <t>Movilidad contratista</t>
  </si>
  <si>
    <t>Viáticos contratistas</t>
  </si>
  <si>
    <t>EPP</t>
  </si>
  <si>
    <t xml:space="preserve">Cartelería </t>
  </si>
  <si>
    <t>Papelería</t>
  </si>
  <si>
    <t>Garantía fondo de reparo (trimestral)</t>
  </si>
  <si>
    <t>Seguro de responsabilidad civil</t>
  </si>
  <si>
    <t>Garantía de Anticipo Financiero</t>
  </si>
  <si>
    <t>Garantía de Contrato</t>
  </si>
  <si>
    <t>Un</t>
  </si>
  <si>
    <t>1 insp +2 contratista</t>
  </si>
  <si>
    <t>1 insp + 1 contratista</t>
  </si>
  <si>
    <t>2 al 30%</t>
  </si>
  <si>
    <t>TOTAL INDIRECTOS</t>
  </si>
  <si>
    <t>TOTAL COSTOS DIRECTOS</t>
  </si>
  <si>
    <t>TOTAL MATERIALES</t>
  </si>
  <si>
    <t>TOTAL MANO DE OBRA</t>
  </si>
  <si>
    <t>TOTAL EQUIPOS</t>
  </si>
  <si>
    <t>TOTAL COSTO INDUSTRIAL</t>
  </si>
  <si>
    <t>Ensayo de Carga (instrumentación, staff, permisos)</t>
  </si>
  <si>
    <t>Calado de testigos en H° con ensayos de compresión incluidos</t>
  </si>
  <si>
    <t>Colocación de testigos para control de patologías</t>
  </si>
  <si>
    <t>Grupo electrógeno</t>
  </si>
  <si>
    <t>Compresor</t>
  </si>
  <si>
    <t>Herramientas para desmalezado</t>
  </si>
  <si>
    <t>Herramientas menores</t>
  </si>
  <si>
    <t>Beneficio</t>
  </si>
  <si>
    <t>Impuesto IIBB</t>
  </si>
  <si>
    <t>Impuesto al Cheque</t>
  </si>
  <si>
    <t>Sellados</t>
  </si>
  <si>
    <t>Imprevistos</t>
  </si>
  <si>
    <t>%s/ venta</t>
  </si>
  <si>
    <t>%s/ costo</t>
  </si>
  <si>
    <t>IVA</t>
  </si>
  <si>
    <t>TOTAL PRECIO DE VENTA CON IVA</t>
  </si>
  <si>
    <t>TOTAL PRECIO DE VENTA SIN IVA</t>
  </si>
  <si>
    <t>50% OA mayores</t>
  </si>
  <si>
    <t>Grupo</t>
  </si>
  <si>
    <t>Precio $AR IVA incl</t>
  </si>
  <si>
    <t>Plazo</t>
  </si>
  <si>
    <t>OA</t>
  </si>
  <si>
    <t>&lt;5m</t>
  </si>
  <si>
    <t>Puentes</t>
  </si>
  <si>
    <t>PUENTES MAYORES</t>
  </si>
  <si>
    <t>Certif mensual prom sin IVA</t>
  </si>
  <si>
    <t>2 meses relev</t>
  </si>
  <si>
    <t>Ing Jr Full time</t>
  </si>
  <si>
    <t>1 a 7 - Adjudicación Conjunta</t>
  </si>
  <si>
    <t>Precio</t>
  </si>
  <si>
    <t>Relación: Atomizado / Adjudicación Conjunta</t>
  </si>
  <si>
    <t>Consumibles topografía - mojones</t>
  </si>
  <si>
    <t>ESCENARIO: ADJUDICACIÓN CONJUNTA</t>
  </si>
  <si>
    <t>Precio de referencia</t>
  </si>
  <si>
    <t>OA Grandes Luces</t>
  </si>
  <si>
    <t>HOY GRUPO 7</t>
  </si>
  <si>
    <t>Luces &gt;5 Merlo - Lobos</t>
  </si>
  <si>
    <t>HOY GRUPO 6</t>
  </si>
  <si>
    <t>Luces &lt;5m Merlo - Lobos</t>
  </si>
  <si>
    <t>HOY GRUPO 5</t>
  </si>
  <si>
    <t>Luces&gt;5m Moreno - Mercedes</t>
  </si>
  <si>
    <t>HOY GRUPO 4</t>
  </si>
  <si>
    <t>Luces&lt;5m Moreno - Mercedes</t>
  </si>
  <si>
    <t>HOY GRUPO 3</t>
  </si>
  <si>
    <t>Luces &gt;5 Once - Moreno</t>
  </si>
  <si>
    <t>HOY GRUPO 2</t>
  </si>
  <si>
    <t>Luces&lt;5m Once - Moreno</t>
  </si>
  <si>
    <t xml:space="preserve">HOY GRUPO 1 </t>
  </si>
  <si>
    <t>Relevamiento y anteproy</t>
  </si>
  <si>
    <t>Estudio Prefactibilidad y Anteproyecto Circunvalaciòn FFCC Chaco</t>
  </si>
  <si>
    <t>ADIF LP52-2014</t>
  </si>
  <si>
    <t>Estudio Prefactibilidad y Anteproyecto Circunvalaciòn FFCC Sta Fe</t>
  </si>
  <si>
    <t>ADIF LP54-2014</t>
  </si>
  <si>
    <t>Estudio y REPARACIÓN</t>
  </si>
  <si>
    <t>Puente caminero vial</t>
  </si>
  <si>
    <t>ADIF LP13-2016 R5</t>
  </si>
  <si>
    <t>Puente Aº San Lorenzo</t>
  </si>
  <si>
    <t>ADIF LP13-2016 R4</t>
  </si>
  <si>
    <t>Puente Carcarañá</t>
  </si>
  <si>
    <t>ADIF LP13-2016 R3</t>
  </si>
  <si>
    <t>Puente Aº Monje</t>
  </si>
  <si>
    <t>ADIF LP13-2016 R2</t>
  </si>
  <si>
    <t>Puente Colastinè</t>
  </si>
  <si>
    <t>ADIF LP13-2016 R1</t>
  </si>
  <si>
    <t xml:space="preserve"> + 1 puente 55m</t>
  </si>
  <si>
    <t>"ESTUDIO DE PUENTES N° 1 Y W 6 SOBRE RAMAL F1-L1NEA
BELGRANO -PClA SANTA FE" - renglòn 2</t>
  </si>
  <si>
    <t>ADIF LP 15-2016 R2</t>
  </si>
  <si>
    <t>1 puente 500 mts</t>
  </si>
  <si>
    <t>"ESTUDIO DE PUENTES N° 1 Y W 6 SOBRE RAMAL F1-L1NEA
BELGRANO -PClA SANTA FE" - renglòn 1</t>
  </si>
  <si>
    <t>ADIF LP 15-2016 R1</t>
  </si>
  <si>
    <t>4 puentes de grandes luces</t>
  </si>
  <si>
    <t>SERVICIO DE CONSULTORIA PARA EL RELEVAMIENTO Y ENSAYO NO DESTRUCTIVO DE LOS PUENTES METÁLICOS CANAL A, 1, 2 Y 9 RAMAL CONSTITUCION –MAR DEL PLATA –R1B DE LA LINEA GENERAL ROCA</t>
  </si>
  <si>
    <t>ADIF LP 67-2015</t>
  </si>
  <si>
    <t>21 puentes de 11,5 a 20 m de luz</t>
  </si>
  <si>
    <t>Servicio de Consultorìa para relevamiento de puentes FGR</t>
  </si>
  <si>
    <t>ADIF LP 50-2016</t>
  </si>
  <si>
    <t>Precio /mes</t>
  </si>
  <si>
    <t>Agrupado / Actualizado</t>
  </si>
  <si>
    <t>Actualizado</t>
  </si>
  <si>
    <t>Alcance</t>
  </si>
  <si>
    <t>Nombre</t>
  </si>
  <si>
    <t>Còdigo</t>
  </si>
  <si>
    <t>Licitaciones de Referencia</t>
  </si>
  <si>
    <t>amort en 2 años</t>
  </si>
  <si>
    <t>INDUVIA</t>
  </si>
  <si>
    <t>Índice del Costo de la Construcción en el Gran Buenos Aires (ICC), base 1993=100. Variaciones del Nivel general y capítulos</t>
  </si>
  <si>
    <t>Nivel general y capítulos</t>
  </si>
  <si>
    <t>Variaciones % respecto del mes anterior</t>
  </si>
  <si>
    <t>Noviembre</t>
  </si>
  <si>
    <t>Diciembre</t>
  </si>
  <si>
    <t>Enero</t>
  </si>
  <si>
    <t>Febrero</t>
  </si>
  <si>
    <t>Marzo</t>
  </si>
  <si>
    <t>Abril</t>
  </si>
  <si>
    <t>Mayo*</t>
  </si>
  <si>
    <t>Junio*</t>
  </si>
  <si>
    <t>Julio*</t>
  </si>
  <si>
    <t>Agosto*</t>
  </si>
  <si>
    <t>Septiembre*</t>
  </si>
  <si>
    <t>Octubre*</t>
  </si>
  <si>
    <t>Nivel general</t>
  </si>
  <si>
    <t>Mano de obra</t>
  </si>
  <si>
    <t>- -</t>
  </si>
  <si>
    <t>Gastos generales</t>
  </si>
  <si>
    <t>* Dato provisorio.</t>
  </si>
  <si>
    <r>
      <t>Fuente:</t>
    </r>
    <r>
      <rPr>
        <sz val="8"/>
        <rFont val="Arial"/>
        <family val="2"/>
      </rPr>
      <t xml:space="preserve"> INDEC. </t>
    </r>
  </si>
  <si>
    <t>Acumulado</t>
  </si>
  <si>
    <t>fecha</t>
  </si>
  <si>
    <t>coef act</t>
  </si>
  <si>
    <t>Materiales Varios</t>
  </si>
  <si>
    <t>5% de mat</t>
  </si>
  <si>
    <t>Seguros</t>
  </si>
  <si>
    <t>en mark up</t>
  </si>
  <si>
    <t>Mark up</t>
  </si>
  <si>
    <t>Total Mark up</t>
  </si>
  <si>
    <t>Costos Financieros</t>
  </si>
  <si>
    <t>Jefe relev - Ing Senior</t>
  </si>
  <si>
    <t>Resp. - Ing Senior part time</t>
  </si>
  <si>
    <t>Resp càlc. - Ing Sr. Part time</t>
  </si>
  <si>
    <t>NIVEL 1 INTI incl viáticos (15%)</t>
  </si>
  <si>
    <t>Técnico de campo NIVEL 2</t>
  </si>
  <si>
    <t>NIVEL 2 INTI incl viáticos (15%)</t>
  </si>
  <si>
    <t>Consumibles ensayos standarizados (TP, PM, US)</t>
  </si>
  <si>
    <t>Aranceles INTI</t>
  </si>
  <si>
    <t>Servicios Sistematizados</t>
  </si>
  <si>
    <t>NIVEL 1- Profesional</t>
  </si>
  <si>
    <t xml:space="preserve">Categoría </t>
  </si>
  <si>
    <t xml:space="preserve">fecha </t>
  </si>
  <si>
    <t>NIVEL 2 - Técnico/Administrativo</t>
  </si>
  <si>
    <t>NIVEL 3 - Auxiliar</t>
  </si>
  <si>
    <t>Servicios NO Sistematizados</t>
  </si>
  <si>
    <t>Senior</t>
  </si>
  <si>
    <t>Junior</t>
  </si>
  <si>
    <t>coef actualizacion</t>
  </si>
  <si>
    <t>ok INTI</t>
  </si>
  <si>
    <t>on-cost viáticos</t>
  </si>
  <si>
    <t>con oncost viáticos</t>
  </si>
  <si>
    <t>Costos horarios</t>
  </si>
  <si>
    <t>básicos jul-15</t>
  </si>
  <si>
    <t>hs/mes</t>
  </si>
  <si>
    <t>costo mensual</t>
  </si>
  <si>
    <t>Cuadrilla relevamiento de campo</t>
  </si>
  <si>
    <t>Nivel 1</t>
  </si>
  <si>
    <t>Nivel 2</t>
  </si>
  <si>
    <t>Total costo mensual</t>
  </si>
  <si>
    <t>Valor indicativo Ago2015</t>
  </si>
  <si>
    <t>Precio con IVA</t>
  </si>
  <si>
    <t>Precio INDUVIA Oct 2015</t>
  </si>
  <si>
    <t>Valor Ref SOFSE</t>
  </si>
  <si>
    <t>1 Operadores Equip</t>
  </si>
  <si>
    <t>Combustibles</t>
  </si>
  <si>
    <t>2 grales</t>
  </si>
  <si>
    <t>días</t>
  </si>
  <si>
    <t>N°</t>
  </si>
  <si>
    <t>Luz Obra de Arte</t>
  </si>
  <si>
    <t>Cantidad Obras de Arte</t>
  </si>
  <si>
    <t>Ramal</t>
  </si>
  <si>
    <t>Once-Moreno</t>
  </si>
  <si>
    <t>Moreno-Mercedes</t>
  </si>
  <si>
    <t>Merlo-Lobos</t>
  </si>
  <si>
    <t>Todos los Ramales</t>
  </si>
  <si>
    <t>Puentes gran Luz</t>
  </si>
  <si>
    <t xml:space="preserve">OBRAS DE ARTE </t>
  </si>
  <si>
    <t>queda para SOFSE</t>
  </si>
  <si>
    <t>relevamiento inicial</t>
  </si>
  <si>
    <t>50% obras mayores</t>
  </si>
  <si>
    <t>1 a 4</t>
  </si>
  <si>
    <t>COSTEO GRUPO 4 y 1 a 3</t>
  </si>
  <si>
    <t>4 grales</t>
  </si>
  <si>
    <t>2 Of Gral</t>
  </si>
  <si>
    <t>1p/SOFSE + amort</t>
  </si>
  <si>
    <t>Movilidad para inspección - camioneta 0Km</t>
  </si>
  <si>
    <t>$2000*8pers</t>
  </si>
  <si>
    <t>Gastos Generales de Sede</t>
  </si>
  <si>
    <t>Cant OA</t>
  </si>
  <si>
    <t>Precio $AR sin IVA</t>
  </si>
  <si>
    <t>Ejecución de ensayo y Elaboración de Informe: 
Estudios geotécnicos.</t>
  </si>
  <si>
    <t>Ejecución de ensayo y Elaboración de Informe: 
Prueba de carga estática y dinámica.</t>
  </si>
  <si>
    <t>Ejecución de ensayo y Elaboración de Informe: 
Ensayos de integridad metalografica por ultrasonido (Face Array).</t>
  </si>
  <si>
    <t>Ejecución de ensayo y Elaboración de Informe: 
Ensayos de tracción -  Ensayos de Metalografico - Ensayos de Charpy.</t>
  </si>
  <si>
    <t xml:space="preserve">Ejecución de ensayo y Elaboración de Informe: 
Calado de testigos en hormigón / mamposteria con ensayo de compresión incluidos. </t>
  </si>
  <si>
    <t>Ejecución de ensayo y Elaboración de Informe: 
Colocacion de testigos para evaluacion de tensiones.</t>
  </si>
  <si>
    <t>hs Ing</t>
  </si>
  <si>
    <t>PLANILLA MODELO DE ANALISIS DE PRECIOS</t>
  </si>
  <si>
    <t>ITEM</t>
  </si>
  <si>
    <t>Unidad Item</t>
  </si>
  <si>
    <t>Código</t>
  </si>
  <si>
    <t>Descripción</t>
  </si>
  <si>
    <t>Unidad de Medida</t>
  </si>
  <si>
    <t>Precio Unitario (ARS)</t>
  </si>
  <si>
    <t>Precio Parcial  (ARS)</t>
  </si>
  <si>
    <t>Precio Total (ARS)</t>
  </si>
  <si>
    <t>6=4*5</t>
  </si>
  <si>
    <t>A</t>
  </si>
  <si>
    <t>MATERIALES</t>
  </si>
  <si>
    <t>B</t>
  </si>
  <si>
    <t>MANO DE OBRA</t>
  </si>
  <si>
    <t>C</t>
  </si>
  <si>
    <t>TRANSPORTE</t>
  </si>
  <si>
    <t>D</t>
  </si>
  <si>
    <t>EQUIPOS</t>
  </si>
  <si>
    <t>E</t>
  </si>
  <si>
    <t>SUBCONTRATOS</t>
  </si>
  <si>
    <t>F</t>
  </si>
  <si>
    <t>COSTO COSTO   (A+ B+ C+ D+ E)</t>
  </si>
  <si>
    <t>G</t>
  </si>
  <si>
    <r>
      <t xml:space="preserve">Gastos Generales (……%) </t>
    </r>
    <r>
      <rPr>
        <b/>
        <sz val="11"/>
        <color theme="1"/>
        <rFont val="Calibri"/>
        <family val="2"/>
        <scheme val="minor"/>
      </rPr>
      <t>(% F)</t>
    </r>
  </si>
  <si>
    <t>H</t>
  </si>
  <si>
    <t>COSTO   (F+ G)</t>
  </si>
  <si>
    <t>I</t>
  </si>
  <si>
    <r>
      <t xml:space="preserve">Beneficio (…..%) </t>
    </r>
    <r>
      <rPr>
        <b/>
        <sz val="11"/>
        <color theme="1"/>
        <rFont val="Calibri"/>
        <family val="2"/>
        <scheme val="minor"/>
      </rPr>
      <t>(% H)</t>
    </r>
  </si>
  <si>
    <t>J</t>
  </si>
  <si>
    <r>
      <t>Gastos financieros (…..%)</t>
    </r>
    <r>
      <rPr>
        <b/>
        <sz val="11"/>
        <color theme="1"/>
        <rFont val="Calibri"/>
        <family val="2"/>
        <scheme val="minor"/>
      </rPr>
      <t xml:space="preserve"> (% H)</t>
    </r>
  </si>
  <si>
    <t>K</t>
  </si>
  <si>
    <t>PRECIO SIN IVA   (H+ I+ J)</t>
  </si>
  <si>
    <t>LISTADO DE MATERIALES</t>
  </si>
  <si>
    <t>Determinación de Codigos de materiales según el rubro al que pertenecen</t>
  </si>
  <si>
    <t>Descripcion</t>
  </si>
  <si>
    <t>Unidad de medida</t>
  </si>
  <si>
    <t>Costo Actual</t>
  </si>
  <si>
    <t>Ingresar Codigos de material Indec tantos como sean necesarios</t>
  </si>
  <si>
    <t>Ingresar descripcion de material</t>
  </si>
  <si>
    <t>Ingresar UM</t>
  </si>
  <si>
    <t>Ingresar Costo Actual</t>
  </si>
  <si>
    <t>Rubro 1</t>
  </si>
  <si>
    <t>Rubro 2</t>
  </si>
  <si>
    <t>Maderas</t>
  </si>
  <si>
    <t>Rubro 3</t>
  </si>
  <si>
    <t>Pinturas</t>
  </si>
  <si>
    <t>Rubro 4</t>
  </si>
  <si>
    <t>Revestimientos</t>
  </si>
  <si>
    <t>Rubro 5</t>
  </si>
  <si>
    <t>Aislantes</t>
  </si>
  <si>
    <t xml:space="preserve">Rubro 6 </t>
  </si>
  <si>
    <t>Materiales Genrales</t>
  </si>
  <si>
    <t>Rubro 7</t>
  </si>
  <si>
    <t>Rubro 8</t>
  </si>
  <si>
    <t>Piedras y aridos</t>
  </si>
  <si>
    <t>Rubro 9</t>
  </si>
  <si>
    <t>Hierros para Construccion</t>
  </si>
  <si>
    <t>Rubro 10</t>
  </si>
  <si>
    <t>Varios: polimeros, pretensados, chapa galvanizada, poliestirenos, polietilenos, telas y vidrios</t>
  </si>
  <si>
    <t>Rubro 11</t>
  </si>
  <si>
    <t>Aberturas</t>
  </si>
  <si>
    <t>Rubro 12</t>
  </si>
  <si>
    <t>Materiales Sanitarios, Incendio y Gas</t>
  </si>
  <si>
    <t>Rubro 13</t>
  </si>
  <si>
    <t>Materiales Electricos</t>
  </si>
  <si>
    <t>Rubro 14</t>
  </si>
  <si>
    <t>Maquinas y equipos</t>
  </si>
  <si>
    <t>Rubro 15</t>
  </si>
  <si>
    <t>Indices Varios: Alquileres, Ascensores, maquinas y equipos, informatica, Muebles y productos industriales.</t>
  </si>
  <si>
    <t>Rubro 16</t>
  </si>
  <si>
    <t>Transporte y comunicaciones</t>
  </si>
  <si>
    <t>Determinación del Costo de Equipos</t>
  </si>
  <si>
    <t>Equipo</t>
  </si>
  <si>
    <t>Potencia</t>
  </si>
  <si>
    <t>Valor Residual</t>
  </si>
  <si>
    <t>Vida Util</t>
  </si>
  <si>
    <t>Uso Anual</t>
  </si>
  <si>
    <t>Amortización e Intereses (A/I)</t>
  </si>
  <si>
    <t>Reparaciones y Repuestos (R/R)</t>
  </si>
  <si>
    <t>Lubricantes</t>
  </si>
  <si>
    <t>Combustibles y Lubricantes</t>
  </si>
  <si>
    <t>Tipo</t>
  </si>
  <si>
    <t>Consumo</t>
  </si>
  <si>
    <t>Costo</t>
  </si>
  <si>
    <t>HP</t>
  </si>
  <si>
    <t>h</t>
  </si>
  <si>
    <t>$/h</t>
  </si>
  <si>
    <t>$/lt</t>
  </si>
  <si>
    <t>lt/h</t>
  </si>
  <si>
    <t>4/h</t>
  </si>
  <si>
    <t>4=20%x3</t>
  </si>
  <si>
    <t>8=70%x7</t>
  </si>
  <si>
    <t>12=10x11</t>
  </si>
  <si>
    <t>13=30%x12</t>
  </si>
  <si>
    <t>14=12+13</t>
  </si>
  <si>
    <t>Gas Oil</t>
  </si>
  <si>
    <t>-</t>
  </si>
  <si>
    <t>Observaciones: El valor del Gas Oil adoptado surge de adicionar al precio del mismo (2,88 $/lt) el costo de almacenamiento y distribución (0,40 $/lt)</t>
  </si>
  <si>
    <t>Donde:</t>
  </si>
  <si>
    <t>Costo Actual:</t>
  </si>
  <si>
    <t>Valor corriente de mercado del equipo.</t>
  </si>
  <si>
    <t>Valor Residual:</t>
  </si>
  <si>
    <t>Valor de reventa del equipo al final del período de vida útil. Por convención cuando se utiliza el sistema de amortización lineal se considera del 20%.</t>
  </si>
  <si>
    <t>Vida Util:</t>
  </si>
  <si>
    <t>Es el período que el equipo tiene garantía, donde presenta un rendimiento óptimo y homogéneo. Se mide en horas de uso.</t>
  </si>
  <si>
    <t>Uso Anual:</t>
  </si>
  <si>
    <t>Es la cantidad de horas que efectivamente trabaja por año el equipo.</t>
  </si>
  <si>
    <t>n:</t>
  </si>
  <si>
    <r>
      <t xml:space="preserve">Período de vida útil medido en años, siendo: </t>
    </r>
    <r>
      <rPr>
        <b/>
        <sz val="9"/>
        <rFont val="Arial"/>
        <family val="2"/>
      </rPr>
      <t>n = VU / UA</t>
    </r>
    <r>
      <rPr>
        <sz val="9"/>
        <rFont val="Arial"/>
        <family val="2"/>
      </rPr>
      <t xml:space="preserve">. Donde </t>
    </r>
    <r>
      <rPr>
        <b/>
        <sz val="9"/>
        <rFont val="Arial"/>
        <family val="2"/>
      </rPr>
      <t>VU</t>
    </r>
    <r>
      <rPr>
        <sz val="9"/>
        <rFont val="Arial"/>
        <family val="2"/>
      </rPr>
      <t xml:space="preserve">: Vida útil y </t>
    </r>
    <r>
      <rPr>
        <b/>
        <sz val="9"/>
        <rFont val="Arial"/>
        <family val="2"/>
      </rPr>
      <t>UA</t>
    </r>
    <r>
      <rPr>
        <sz val="9"/>
        <rFont val="Arial"/>
        <family val="2"/>
      </rPr>
      <t>: Uso Anual.</t>
    </r>
  </si>
  <si>
    <t>A =</t>
  </si>
  <si>
    <r>
      <t>( CA - VR ) / VU</t>
    </r>
    <r>
      <rPr>
        <sz val="9"/>
        <rFont val="Arial"/>
        <family val="2"/>
      </rPr>
      <t xml:space="preserve"> donde </t>
    </r>
    <r>
      <rPr>
        <b/>
        <sz val="9"/>
        <rFont val="Arial"/>
        <family val="2"/>
      </rPr>
      <t>CA</t>
    </r>
    <r>
      <rPr>
        <sz val="9"/>
        <rFont val="Arial"/>
        <family val="2"/>
      </rPr>
      <t xml:space="preserve">: Costo Anual y </t>
    </r>
    <r>
      <rPr>
        <b/>
        <sz val="9"/>
        <rFont val="Arial"/>
        <family val="2"/>
      </rPr>
      <t>VR</t>
    </r>
    <r>
      <rPr>
        <sz val="9"/>
        <rFont val="Arial"/>
        <family val="2"/>
      </rPr>
      <t>: Valor Residual.</t>
    </r>
  </si>
  <si>
    <t>I =</t>
  </si>
  <si>
    <t>[ ( CA - VR ) x ( ( n+1 ) / 2n ) x 0,10 ] / UA</t>
  </si>
  <si>
    <t>A / I =</t>
  </si>
  <si>
    <t>A + I</t>
  </si>
  <si>
    <t>R / R =</t>
  </si>
  <si>
    <t>Reparación y Repuestos, por convención se considera el 70% del total de amortización e intereses</t>
  </si>
  <si>
    <t>Combustibles:</t>
  </si>
  <si>
    <t>Precio por unidad de medida, sin impuestos, multiplicado por la cantidad consumida.</t>
  </si>
  <si>
    <t>Lubricantes:</t>
  </si>
  <si>
    <t>Se estima por convención que se incurre en un costo de lubricantes del 30% del valor del combustible.</t>
  </si>
  <si>
    <t>Determinación del Costo Horario de la Mano de Obra por Categoría</t>
  </si>
  <si>
    <t>Convenio U.O.C.R.A.</t>
  </si>
  <si>
    <t>Zona:</t>
  </si>
  <si>
    <t>Id</t>
  </si>
  <si>
    <t>Concepto</t>
  </si>
  <si>
    <t>Oficial Especializado</t>
  </si>
  <si>
    <t>Medio Oficial</t>
  </si>
  <si>
    <t>Sueldo Básico x hora Dic-2010</t>
  </si>
  <si>
    <t>Adicional por hora trabajada s/Acuerdo</t>
  </si>
  <si>
    <t>Sueldo Básico x mes</t>
  </si>
  <si>
    <t>180 hs / mes</t>
  </si>
  <si>
    <t>Adicional Antigüedad</t>
  </si>
  <si>
    <t>Adicional Asistencia</t>
  </si>
  <si>
    <t>Viáticos</t>
  </si>
  <si>
    <t>__ $ / día</t>
  </si>
  <si>
    <t>Horas extras 50%</t>
  </si>
  <si>
    <t>Horas extras 100%</t>
  </si>
  <si>
    <t>Total Bruto</t>
  </si>
  <si>
    <t>Jubilación</t>
  </si>
  <si>
    <t>Ley 19.032</t>
  </si>
  <si>
    <t>A.N.S.S.A.L.</t>
  </si>
  <si>
    <t>Obra Social</t>
  </si>
  <si>
    <t>Seguro de Vida</t>
  </si>
  <si>
    <t>Sueldo Neto</t>
  </si>
  <si>
    <t>Sistema Integrado de Jubilaciones y Pensiones</t>
  </si>
  <si>
    <t>I.N.S.S.J.P.</t>
  </si>
  <si>
    <t>Asignaciones familiares</t>
  </si>
  <si>
    <t>Fondo Nacional de Emprelo</t>
  </si>
  <si>
    <t>Sistema Nacional de Obras Sociales</t>
  </si>
  <si>
    <t>Fondo de Desempleo</t>
  </si>
  <si>
    <t>Régimen Nacional de la Industria de la Construcción</t>
  </si>
  <si>
    <t>Feriados pagos</t>
  </si>
  <si>
    <t>Ley de Riesgos de Trabajo</t>
  </si>
  <si>
    <t>Vacaciones pagas</t>
  </si>
  <si>
    <t>Enfermedades inculpables</t>
  </si>
  <si>
    <t>Licencias especiales</t>
  </si>
  <si>
    <t>S.A.C.</t>
  </si>
  <si>
    <t>Sueldo Bruto</t>
  </si>
  <si>
    <t>Otros costos (*)</t>
  </si>
  <si>
    <t>Costo Total Mensual</t>
  </si>
  <si>
    <t>Costo Horario Empresario</t>
  </si>
  <si>
    <t>Observaciones: (*) En el rubro Otros Costos se consideraron: Premio a la producción, asignación por vestimenta y elementos de seguridad, exámen preocupacional y post-preocupacional, mediación por despido, liquidación de haberes y transporte.</t>
  </si>
  <si>
    <t>ANEXO II</t>
  </si>
  <si>
    <t xml:space="preserve">ANEXO II.a </t>
  </si>
  <si>
    <t>ANEXO II.b</t>
  </si>
  <si>
    <t>ANEXO II.c</t>
  </si>
  <si>
    <t>ANEXO II.d</t>
  </si>
  <si>
    <t>Tercera Tarea: Propuesta de: Intervencion (Ing. Basica de Proyecto) / Reemplazo (Doc. Tecnica e Informes) / Remocion (Doc. Tecnica e Informes)</t>
  </si>
  <si>
    <t>Primera Tarea: Relevamiento e Inspeccion Detallada de Obras de Arte - Doc. Tecnica, Documentos e Informes.</t>
  </si>
  <si>
    <t>MT-VO-ET-073   Rev.: 0</t>
  </si>
  <si>
    <t>INSPECCIÓN DETALLADA y DIAGNOSTICO ESTRUCTURAL DE OBRAS DE ARTE AMBA - LINEA MITRE-ETAPA 1</t>
  </si>
  <si>
    <t>RENGLON 1 - PUENTES Y ALCANTARILLAS DE ACERO</t>
  </si>
  <si>
    <t>RENGLON 2 - PUENTES Y ALCANTARILLAS DE HORMIGON, VIADUCTOS Y BOVEDAS</t>
  </si>
  <si>
    <t>RENGLON 3 - TUNELES, CAÑOS Y SIFONES</t>
  </si>
  <si>
    <t>Segunda Tarea: Evaluacion de Aptitud y Diagnostico Estructural de Obras de Arte - Doc. Tecnica, Documentos, Informes y Ensayos.</t>
  </si>
  <si>
    <t>SERVICIO:</t>
  </si>
  <si>
    <t>Servicio: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</si>
</sst>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4">
    <numFmt numFmtId="164" formatCode="_-* #,##0.00\ _€_-;\-* #,##0.00\ _€_-;_-* &quot;-&quot;??\ _€_-;_-@_-"/>
    <numFmt numFmtId="165" formatCode="_(&quot;$&quot;* #,##0.00_);_(&quot;$&quot;* \(#,##0.00\);_(&quot;$&quot;* &quot;-&quot;??_);_(@_)"/>
    <numFmt numFmtId="166" formatCode="0.0%"/>
    <numFmt numFmtId="167" formatCode="#,"/>
    <numFmt numFmtId="168" formatCode="[$€]\ #,##0.00_);[Red]\([$€]\ #,##0.00\)"/>
    <numFmt numFmtId="169" formatCode="#.##000"/>
    <numFmt numFmtId="170" formatCode="&quot;$&quot;#,#00"/>
    <numFmt numFmtId="171" formatCode="%#,#00"/>
    <numFmt numFmtId="173" formatCode="_-* #,##0\ _€_-;\-* #,##0\ _€_-;_-* &quot;-&quot;??\ _€_-;_-@_-"/>
    <numFmt numFmtId="174" formatCode="0.0"/>
    <numFmt numFmtId="175" formatCode="0.0000"/>
    <numFmt numFmtId="176" formatCode="#,##0.00\ &quot;hs.&quot;"/>
    <numFmt numFmtId="177" formatCode="#,##0.00_ &quot;$/HrHb&quot;"/>
    <numFmt numFmtId="178" formatCode="_(* #,##0.00_);_(* \(#,##0.00\);_(* &quot;-&quot;??_);_(@_)"/>
  </numFmts>
  <fonts count="38" x14ac:knownFonts="1">
    <font>
      <sz val="11"/>
      <color theme="1"/>
      <name val="Calibri"/>
      <family val="2"/>
      <scheme val="minor"/>
    </font>
    <font>
      <b/>
      <sz val="14"/>
      <color theme="1"/>
      <name val="Arial"/>
      <family val="2"/>
    </font>
    <font>
      <sz val="11"/>
      <color theme="1"/>
      <name val="Arial"/>
      <family val="2"/>
    </font>
    <font>
      <b/>
      <u/>
      <sz val="16"/>
      <color theme="1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b/>
      <sz val="11"/>
      <color theme="1"/>
      <name val="Arial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Tahoma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b/>
      <sz val="10"/>
      <name val="Tms Rmn"/>
    </font>
    <font>
      <sz val="10"/>
      <color indexed="24"/>
      <name val="Arial"/>
      <family val="2"/>
    </font>
    <font>
      <b/>
      <sz val="12"/>
      <color theme="1"/>
      <name val="Calibri"/>
      <family val="2"/>
      <scheme val="minor"/>
    </font>
    <font>
      <sz val="9"/>
      <name val="Arial"/>
      <family val="2"/>
    </font>
    <font>
      <sz val="11"/>
      <color theme="1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11"/>
      <color theme="1"/>
      <name val="Calibri"/>
      <family val="2"/>
      <scheme val="minor"/>
    </font>
    <font>
      <b/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0"/>
      <name val="Arial Narrow"/>
      <family val="2"/>
    </font>
    <font>
      <b/>
      <sz val="16"/>
      <color theme="1"/>
      <name val="Calibri"/>
      <family val="2"/>
      <scheme val="minor"/>
    </font>
    <font>
      <b/>
      <sz val="16"/>
      <name val="Arial"/>
      <family val="2"/>
    </font>
    <font>
      <b/>
      <sz val="9"/>
      <name val="Arial"/>
      <family val="2"/>
    </font>
    <font>
      <b/>
      <u/>
      <sz val="14"/>
      <name val="Arial"/>
      <family val="2"/>
    </font>
    <font>
      <b/>
      <sz val="10"/>
      <color theme="1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 tint="-0.249977111117893"/>
        <bgColor indexed="64"/>
      </patternFill>
    </fill>
  </fills>
  <borders count="10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9">
    <xf numFmtId="0" fontId="0" fillId="0" borderId="0"/>
    <xf numFmtId="0" fontId="10" fillId="0" borderId="0"/>
    <xf numFmtId="166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" fontId="11" fillId="0" borderId="0">
      <protection locked="0"/>
    </xf>
    <xf numFmtId="0" fontId="9" fillId="0" borderId="27" applyProtection="0"/>
    <xf numFmtId="167" fontId="12" fillId="0" borderId="0">
      <protection locked="0"/>
    </xf>
    <xf numFmtId="167" fontId="12" fillId="0" borderId="0">
      <protection locked="0"/>
    </xf>
    <xf numFmtId="168" fontId="13" fillId="0" borderId="0" applyFont="0" applyFill="0" applyBorder="0" applyAlignment="0" applyProtection="0"/>
    <xf numFmtId="2" fontId="14" fillId="0" borderId="0" applyFont="0" applyFill="0" applyBorder="0" applyAlignment="0" applyProtection="0"/>
    <xf numFmtId="169" fontId="11" fillId="0" borderId="0">
      <protection locked="0"/>
    </xf>
    <xf numFmtId="170" fontId="11" fillId="0" borderId="0">
      <protection locked="0"/>
    </xf>
    <xf numFmtId="171" fontId="11" fillId="0" borderId="0">
      <protection locked="0"/>
    </xf>
    <xf numFmtId="16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8" fillId="0" borderId="0"/>
    <xf numFmtId="164" fontId="17" fillId="0" borderId="0" applyFont="0" applyFill="0" applyBorder="0" applyAlignment="0" applyProtection="0"/>
    <xf numFmtId="178" fontId="8" fillId="0" borderId="0" applyFont="0" applyFill="0" applyBorder="0" applyAlignment="0" applyProtection="0"/>
  </cellStyleXfs>
  <cellXfs count="526">
    <xf numFmtId="0" fontId="0" fillId="0" borderId="0" xfId="0"/>
    <xf numFmtId="0" fontId="1" fillId="0" borderId="0" xfId="0" applyFont="1"/>
    <xf numFmtId="0" fontId="2" fillId="0" borderId="0" xfId="0" applyFont="1"/>
    <xf numFmtId="0" fontId="2" fillId="0" borderId="0" xfId="0" applyFont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 indent="1"/>
    </xf>
    <xf numFmtId="0" fontId="4" fillId="0" borderId="2" xfId="0" applyFont="1" applyFill="1" applyBorder="1" applyAlignment="1">
      <alignment vertical="center"/>
    </xf>
    <xf numFmtId="0" fontId="4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vertical="center"/>
    </xf>
    <xf numFmtId="0" fontId="4" fillId="0" borderId="3" xfId="0" applyFont="1" applyBorder="1" applyAlignment="1">
      <alignment vertical="center"/>
    </xf>
    <xf numFmtId="0" fontId="4" fillId="0" borderId="5" xfId="0" applyFont="1" applyFill="1" applyBorder="1" applyAlignment="1">
      <alignment vertical="center"/>
    </xf>
    <xf numFmtId="0" fontId="4" fillId="0" borderId="5" xfId="0" applyFont="1" applyBorder="1" applyAlignment="1">
      <alignment horizontal="center" vertical="center"/>
    </xf>
    <xf numFmtId="0" fontId="5" fillId="0" borderId="7" xfId="0" applyFont="1" applyBorder="1" applyAlignment="1">
      <alignment horizontal="left" vertical="center" indent="3"/>
    </xf>
    <xf numFmtId="0" fontId="5" fillId="0" borderId="8" xfId="0" applyFont="1" applyFill="1" applyBorder="1" applyAlignment="1">
      <alignment vertical="center"/>
    </xf>
    <xf numFmtId="0" fontId="5" fillId="0" borderId="9" xfId="0" applyFont="1" applyBorder="1" applyAlignment="1">
      <alignment horizontal="center" vertical="center"/>
    </xf>
    <xf numFmtId="4" fontId="5" fillId="0" borderId="10" xfId="0" applyNumberFormat="1" applyFont="1" applyBorder="1" applyAlignment="1">
      <alignment vertical="center"/>
    </xf>
    <xf numFmtId="4" fontId="5" fillId="0" borderId="11" xfId="0" applyNumberFormat="1" applyFont="1" applyBorder="1" applyAlignment="1">
      <alignment vertical="center"/>
    </xf>
    <xf numFmtId="0" fontId="5" fillId="0" borderId="12" xfId="0" applyFont="1" applyFill="1" applyBorder="1" applyAlignment="1">
      <alignment vertical="center"/>
    </xf>
    <xf numFmtId="4" fontId="5" fillId="0" borderId="13" xfId="0" applyNumberFormat="1" applyFont="1" applyBorder="1" applyAlignment="1">
      <alignment vertical="center"/>
    </xf>
    <xf numFmtId="4" fontId="5" fillId="0" borderId="14" xfId="0" applyNumberFormat="1" applyFont="1" applyBorder="1" applyAlignment="1">
      <alignment vertical="center"/>
    </xf>
    <xf numFmtId="4" fontId="4" fillId="0" borderId="2" xfId="0" applyNumberFormat="1" applyFont="1" applyBorder="1" applyAlignment="1">
      <alignment vertical="center"/>
    </xf>
    <xf numFmtId="4" fontId="4" fillId="0" borderId="3" xfId="0" applyNumberFormat="1" applyFont="1" applyBorder="1" applyAlignment="1">
      <alignment vertical="center"/>
    </xf>
    <xf numFmtId="4" fontId="4" fillId="0" borderId="5" xfId="0" applyNumberFormat="1" applyFont="1" applyBorder="1" applyAlignment="1">
      <alignment vertical="center"/>
    </xf>
    <xf numFmtId="4" fontId="4" fillId="0" borderId="6" xfId="0" applyNumberFormat="1" applyFont="1" applyBorder="1" applyAlignment="1">
      <alignment vertical="center"/>
    </xf>
    <xf numFmtId="0" fontId="5" fillId="0" borderId="15" xfId="0" applyFont="1" applyBorder="1" applyAlignment="1">
      <alignment horizontal="left" vertical="center" indent="3"/>
    </xf>
    <xf numFmtId="0" fontId="5" fillId="0" borderId="16" xfId="0" applyFont="1" applyFill="1" applyBorder="1" applyAlignment="1">
      <alignment vertical="center"/>
    </xf>
    <xf numFmtId="4" fontId="5" fillId="0" borderId="17" xfId="0" applyNumberFormat="1" applyFont="1" applyBorder="1" applyAlignment="1">
      <alignment vertical="center"/>
    </xf>
    <xf numFmtId="4" fontId="5" fillId="0" borderId="18" xfId="0" applyNumberFormat="1" applyFont="1" applyBorder="1" applyAlignment="1">
      <alignment vertical="center"/>
    </xf>
    <xf numFmtId="4" fontId="5" fillId="0" borderId="19" xfId="0" applyNumberFormat="1" applyFont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4" fontId="5" fillId="0" borderId="10" xfId="0" applyNumberFormat="1" applyFont="1" applyFill="1" applyBorder="1" applyAlignment="1">
      <alignment vertical="center"/>
    </xf>
    <xf numFmtId="0" fontId="4" fillId="0" borderId="4" xfId="0" applyFont="1" applyBorder="1" applyAlignment="1">
      <alignment horizontal="left" vertical="center" indent="1"/>
    </xf>
    <xf numFmtId="0" fontId="2" fillId="0" borderId="21" xfId="0" applyFont="1" applyBorder="1"/>
    <xf numFmtId="0" fontId="6" fillId="0" borderId="2" xfId="0" applyFont="1" applyBorder="1"/>
    <xf numFmtId="0" fontId="2" fillId="0" borderId="2" xfId="0" applyFont="1" applyBorder="1" applyAlignment="1">
      <alignment horizontal="center" vertical="center"/>
    </xf>
    <xf numFmtId="0" fontId="2" fillId="0" borderId="2" xfId="0" applyFont="1" applyBorder="1"/>
    <xf numFmtId="4" fontId="6" fillId="0" borderId="1" xfId="0" applyNumberFormat="1" applyFont="1" applyBorder="1"/>
    <xf numFmtId="3" fontId="5" fillId="0" borderId="9" xfId="0" applyNumberFormat="1" applyFont="1" applyBorder="1" applyAlignment="1">
      <alignment horizontal="center" vertical="center"/>
    </xf>
    <xf numFmtId="3" fontId="5" fillId="0" borderId="13" xfId="0" applyNumberFormat="1" applyFont="1" applyBorder="1" applyAlignment="1">
      <alignment horizontal="center" vertical="center"/>
    </xf>
    <xf numFmtId="3" fontId="4" fillId="0" borderId="2" xfId="0" applyNumberFormat="1" applyFont="1" applyBorder="1" applyAlignment="1">
      <alignment horizontal="center" vertical="center"/>
    </xf>
    <xf numFmtId="3" fontId="4" fillId="0" borderId="5" xfId="0" applyNumberFormat="1" applyFont="1" applyBorder="1" applyAlignment="1">
      <alignment horizontal="center" vertical="center"/>
    </xf>
    <xf numFmtId="3" fontId="5" fillId="0" borderId="17" xfId="0" applyNumberFormat="1" applyFont="1" applyBorder="1" applyAlignment="1">
      <alignment horizontal="center" vertical="center"/>
    </xf>
    <xf numFmtId="3" fontId="5" fillId="0" borderId="10" xfId="0" applyNumberFormat="1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4" fontId="5" fillId="0" borderId="17" xfId="0" applyNumberFormat="1" applyFont="1" applyFill="1" applyBorder="1" applyAlignment="1">
      <alignment vertical="center"/>
    </xf>
    <xf numFmtId="3" fontId="8" fillId="0" borderId="17" xfId="0" applyNumberFormat="1" applyFont="1" applyBorder="1" applyAlignment="1">
      <alignment horizontal="center" vertical="center"/>
    </xf>
    <xf numFmtId="3" fontId="5" fillId="0" borderId="17" xfId="0" applyNumberFormat="1" applyFont="1" applyFill="1" applyBorder="1" applyAlignment="1">
      <alignment horizontal="center" vertical="center"/>
    </xf>
    <xf numFmtId="4" fontId="0" fillId="0" borderId="0" xfId="0" applyNumberFormat="1"/>
    <xf numFmtId="0" fontId="5" fillId="0" borderId="20" xfId="0" applyFont="1" applyBorder="1" applyAlignment="1">
      <alignment horizontal="left" vertical="center" indent="3"/>
    </xf>
    <xf numFmtId="0" fontId="5" fillId="0" borderId="23" xfId="0" applyFont="1" applyFill="1" applyBorder="1" applyAlignment="1">
      <alignment vertical="center"/>
    </xf>
    <xf numFmtId="0" fontId="5" fillId="0" borderId="24" xfId="0" applyFont="1" applyBorder="1" applyAlignment="1">
      <alignment horizontal="center" vertical="center"/>
    </xf>
    <xf numFmtId="3" fontId="5" fillId="0" borderId="25" xfId="0" applyNumberFormat="1" applyFont="1" applyBorder="1" applyAlignment="1">
      <alignment horizontal="center" vertical="center"/>
    </xf>
    <xf numFmtId="4" fontId="5" fillId="0" borderId="25" xfId="0" applyNumberFormat="1" applyFont="1" applyBorder="1" applyAlignment="1">
      <alignment vertical="center"/>
    </xf>
    <xf numFmtId="4" fontId="5" fillId="0" borderId="26" xfId="0" applyNumberFormat="1" applyFont="1" applyBorder="1" applyAlignment="1">
      <alignment vertical="center"/>
    </xf>
    <xf numFmtId="0" fontId="5" fillId="0" borderId="1" xfId="0" applyFont="1" applyBorder="1" applyAlignment="1">
      <alignment horizontal="center" vertical="center"/>
    </xf>
    <xf numFmtId="0" fontId="4" fillId="2" borderId="4" xfId="0" applyFont="1" applyFill="1" applyBorder="1" applyAlignment="1">
      <alignment horizontal="left" vertical="center" indent="1"/>
    </xf>
    <xf numFmtId="0" fontId="4" fillId="2" borderId="5" xfId="0" applyFont="1" applyFill="1" applyBorder="1" applyAlignment="1">
      <alignment vertical="center"/>
    </xf>
    <xf numFmtId="0" fontId="4" fillId="2" borderId="5" xfId="0" applyFont="1" applyFill="1" applyBorder="1" applyAlignment="1">
      <alignment horizontal="center" vertical="center"/>
    </xf>
    <xf numFmtId="3" fontId="4" fillId="2" borderId="5" xfId="0" applyNumberFormat="1" applyFont="1" applyFill="1" applyBorder="1" applyAlignment="1">
      <alignment horizontal="center" vertical="center"/>
    </xf>
    <xf numFmtId="4" fontId="4" fillId="2" borderId="5" xfId="0" applyNumberFormat="1" applyFont="1" applyFill="1" applyBorder="1" applyAlignment="1">
      <alignment vertical="center"/>
    </xf>
    <xf numFmtId="4" fontId="4" fillId="2" borderId="6" xfId="0" applyNumberFormat="1" applyFont="1" applyFill="1" applyBorder="1" applyAlignment="1">
      <alignment vertical="center"/>
    </xf>
    <xf numFmtId="0" fontId="1" fillId="0" borderId="0" xfId="0" applyFont="1" applyBorder="1" applyAlignment="1">
      <alignment horizontal="left"/>
    </xf>
    <xf numFmtId="0" fontId="5" fillId="0" borderId="28" xfId="0" applyFont="1" applyFill="1" applyBorder="1" applyAlignment="1">
      <alignment vertical="center"/>
    </xf>
    <xf numFmtId="0" fontId="5" fillId="0" borderId="29" xfId="0" applyFont="1" applyFill="1" applyBorder="1" applyAlignment="1">
      <alignment vertical="center"/>
    </xf>
    <xf numFmtId="4" fontId="5" fillId="3" borderId="17" xfId="0" applyNumberFormat="1" applyFont="1" applyFill="1" applyBorder="1" applyAlignment="1">
      <alignment vertical="center"/>
    </xf>
    <xf numFmtId="0" fontId="4" fillId="2" borderId="1" xfId="0" applyFont="1" applyFill="1" applyBorder="1" applyAlignment="1">
      <alignment horizontal="left" vertical="center" indent="1"/>
    </xf>
    <xf numFmtId="0" fontId="4" fillId="2" borderId="2" xfId="0" applyFont="1" applyFill="1" applyBorder="1" applyAlignment="1">
      <alignment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vertical="center"/>
    </xf>
    <xf numFmtId="3" fontId="4" fillId="2" borderId="2" xfId="0" applyNumberFormat="1" applyFont="1" applyFill="1" applyBorder="1" applyAlignment="1">
      <alignment horizontal="center" vertical="center"/>
    </xf>
    <xf numFmtId="4" fontId="4" fillId="2" borderId="2" xfId="0" applyNumberFormat="1" applyFont="1" applyFill="1" applyBorder="1" applyAlignment="1">
      <alignment vertical="center"/>
    </xf>
    <xf numFmtId="4" fontId="4" fillId="2" borderId="3" xfId="0" applyNumberFormat="1" applyFont="1" applyFill="1" applyBorder="1" applyAlignment="1">
      <alignment vertical="center"/>
    </xf>
    <xf numFmtId="0" fontId="4" fillId="2" borderId="0" xfId="0" applyFont="1" applyFill="1" applyBorder="1" applyAlignment="1">
      <alignment vertical="center"/>
    </xf>
    <xf numFmtId="0" fontId="5" fillId="0" borderId="22" xfId="0" applyFont="1" applyFill="1" applyBorder="1" applyAlignment="1">
      <alignment horizontal="center" vertical="center"/>
    </xf>
    <xf numFmtId="0" fontId="0" fillId="0" borderId="0" xfId="0" applyAlignment="1">
      <alignment horizontal="right"/>
    </xf>
    <xf numFmtId="0" fontId="5" fillId="0" borderId="1" xfId="0" applyFont="1" applyBorder="1" applyAlignment="1">
      <alignment horizontal="left" vertical="center" indent="3"/>
    </xf>
    <xf numFmtId="0" fontId="5" fillId="0" borderId="1" xfId="0" applyFont="1" applyFill="1" applyBorder="1" applyAlignment="1">
      <alignment vertical="center"/>
    </xf>
    <xf numFmtId="3" fontId="5" fillId="0" borderId="1" xfId="0" applyNumberFormat="1" applyFont="1" applyBorder="1" applyAlignment="1">
      <alignment horizontal="center" vertical="center"/>
    </xf>
    <xf numFmtId="4" fontId="5" fillId="0" borderId="1" xfId="0" applyNumberFormat="1" applyFont="1" applyBorder="1" applyAlignment="1">
      <alignment vertical="center"/>
    </xf>
    <xf numFmtId="0" fontId="7" fillId="0" borderId="0" xfId="0" applyFont="1"/>
    <xf numFmtId="0" fontId="3" fillId="0" borderId="0" xfId="0" applyFont="1" applyAlignment="1">
      <alignment horizontal="center" vertical="center"/>
    </xf>
    <xf numFmtId="0" fontId="4" fillId="2" borderId="21" xfId="0" applyFont="1" applyFill="1" applyBorder="1" applyAlignment="1">
      <alignment horizontal="center" vertical="center" wrapText="1"/>
    </xf>
    <xf numFmtId="0" fontId="2" fillId="0" borderId="0" xfId="0" applyFont="1" applyAlignment="1">
      <alignment wrapText="1"/>
    </xf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wrapText="1"/>
    </xf>
    <xf numFmtId="0" fontId="0" fillId="5" borderId="0" xfId="0" applyFill="1"/>
    <xf numFmtId="0" fontId="7" fillId="5" borderId="43" xfId="0" applyFont="1" applyFill="1" applyBorder="1" applyAlignment="1">
      <alignment horizontal="center" vertical="center" wrapText="1"/>
    </xf>
    <xf numFmtId="0" fontId="7" fillId="5" borderId="69" xfId="0" applyFont="1" applyFill="1" applyBorder="1" applyAlignment="1">
      <alignment horizontal="center" vertical="center" wrapText="1"/>
    </xf>
    <xf numFmtId="0" fontId="7" fillId="5" borderId="61" xfId="0" applyFont="1" applyFill="1" applyBorder="1" applyAlignment="1">
      <alignment horizontal="center" vertical="center" wrapText="1"/>
    </xf>
    <xf numFmtId="0" fontId="7" fillId="5" borderId="27" xfId="0" applyFont="1" applyFill="1" applyBorder="1" applyAlignment="1">
      <alignment horizontal="center" vertical="center" wrapText="1"/>
    </xf>
    <xf numFmtId="0" fontId="7" fillId="5" borderId="48" xfId="0" applyFont="1" applyFill="1" applyBorder="1" applyAlignment="1">
      <alignment horizontal="center" vertical="center" wrapText="1"/>
    </xf>
    <xf numFmtId="0" fontId="7" fillId="5" borderId="44" xfId="0" applyFont="1" applyFill="1" applyBorder="1" applyAlignment="1">
      <alignment horizontal="center" vertical="center" wrapText="1"/>
    </xf>
    <xf numFmtId="0" fontId="0" fillId="5" borderId="46" xfId="0" applyFill="1" applyBorder="1" applyAlignment="1">
      <alignment horizontal="center"/>
    </xf>
    <xf numFmtId="0" fontId="0" fillId="5" borderId="62" xfId="0" applyFill="1" applyBorder="1" applyAlignment="1">
      <alignment horizontal="center"/>
    </xf>
    <xf numFmtId="0" fontId="0" fillId="5" borderId="64" xfId="0" applyFill="1" applyBorder="1" applyAlignment="1">
      <alignment horizontal="center"/>
    </xf>
    <xf numFmtId="3" fontId="0" fillId="5" borderId="30" xfId="0" applyNumberFormat="1" applyFill="1" applyBorder="1" applyAlignment="1">
      <alignment horizontal="center"/>
    </xf>
    <xf numFmtId="173" fontId="0" fillId="5" borderId="30" xfId="14" applyNumberFormat="1" applyFont="1" applyFill="1" applyBorder="1"/>
    <xf numFmtId="173" fontId="0" fillId="5" borderId="65" xfId="14" applyNumberFormat="1" applyFont="1" applyFill="1" applyBorder="1"/>
    <xf numFmtId="0" fontId="0" fillId="5" borderId="47" xfId="0" applyFill="1" applyBorder="1" applyAlignment="1">
      <alignment horizontal="center"/>
    </xf>
    <xf numFmtId="164" fontId="0" fillId="5" borderId="0" xfId="14" applyFont="1" applyFill="1"/>
    <xf numFmtId="0" fontId="0" fillId="5" borderId="36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5" borderId="21" xfId="0" applyFill="1" applyBorder="1" applyAlignment="1">
      <alignment horizontal="center"/>
    </xf>
    <xf numFmtId="3" fontId="0" fillId="5" borderId="31" xfId="0" applyNumberFormat="1" applyFill="1" applyBorder="1" applyAlignment="1">
      <alignment horizontal="center"/>
    </xf>
    <xf numFmtId="173" fontId="0" fillId="5" borderId="31" xfId="14" applyNumberFormat="1" applyFont="1" applyFill="1" applyBorder="1"/>
    <xf numFmtId="173" fontId="0" fillId="5" borderId="55" xfId="14" applyNumberFormat="1" applyFont="1" applyFill="1" applyBorder="1"/>
    <xf numFmtId="0" fontId="0" fillId="5" borderId="1" xfId="0" applyFill="1" applyBorder="1" applyAlignment="1">
      <alignment horizontal="center"/>
    </xf>
    <xf numFmtId="0" fontId="0" fillId="5" borderId="52" xfId="0" applyFill="1" applyBorder="1" applyAlignment="1">
      <alignment horizontal="center"/>
    </xf>
    <xf numFmtId="0" fontId="0" fillId="5" borderId="70" xfId="0" applyFill="1" applyBorder="1" applyAlignment="1">
      <alignment horizontal="center"/>
    </xf>
    <xf numFmtId="0" fontId="0" fillId="5" borderId="54" xfId="0" applyFill="1" applyBorder="1" applyAlignment="1">
      <alignment horizontal="center"/>
    </xf>
    <xf numFmtId="3" fontId="0" fillId="5" borderId="32" xfId="0" applyNumberFormat="1" applyFill="1" applyBorder="1" applyAlignment="1">
      <alignment horizontal="center"/>
    </xf>
    <xf numFmtId="173" fontId="0" fillId="5" borderId="32" xfId="14" applyNumberFormat="1" applyFont="1" applyFill="1" applyBorder="1"/>
    <xf numFmtId="173" fontId="0" fillId="5" borderId="56" xfId="14" applyNumberFormat="1" applyFont="1" applyFill="1" applyBorder="1"/>
    <xf numFmtId="0" fontId="0" fillId="5" borderId="51" xfId="0" applyFill="1" applyBorder="1" applyAlignment="1">
      <alignment horizontal="center"/>
    </xf>
    <xf numFmtId="0" fontId="7" fillId="5" borderId="57" xfId="0" applyFont="1" applyFill="1" applyBorder="1" applyAlignment="1">
      <alignment horizontal="center"/>
    </xf>
    <xf numFmtId="173" fontId="7" fillId="5" borderId="57" xfId="0" applyNumberFormat="1" applyFont="1" applyFill="1" applyBorder="1"/>
    <xf numFmtId="0" fontId="0" fillId="5" borderId="34" xfId="0" applyFill="1" applyBorder="1" applyAlignment="1">
      <alignment horizontal="center"/>
    </xf>
    <xf numFmtId="164" fontId="0" fillId="5" borderId="35" xfId="14" applyNumberFormat="1" applyFont="1" applyFill="1" applyBorder="1"/>
    <xf numFmtId="164" fontId="0" fillId="5" borderId="53" xfId="14" applyNumberFormat="1" applyFont="1" applyFill="1" applyBorder="1"/>
    <xf numFmtId="0" fontId="0" fillId="5" borderId="1" xfId="0" applyFill="1" applyBorder="1"/>
    <xf numFmtId="17" fontId="0" fillId="5" borderId="1" xfId="0" applyNumberFormat="1" applyFill="1" applyBorder="1"/>
    <xf numFmtId="173" fontId="0" fillId="5" borderId="1" xfId="0" applyNumberFormat="1" applyFill="1" applyBorder="1"/>
    <xf numFmtId="175" fontId="0" fillId="5" borderId="1" xfId="0" applyNumberFormat="1" applyFill="1" applyBorder="1"/>
    <xf numFmtId="173" fontId="0" fillId="5" borderId="1" xfId="14" applyNumberFormat="1" applyFont="1" applyFill="1" applyBorder="1"/>
    <xf numFmtId="0" fontId="22" fillId="5" borderId="0" xfId="0" applyFont="1" applyFill="1"/>
    <xf numFmtId="0" fontId="0" fillId="5" borderId="0" xfId="0" applyFill="1" applyAlignment="1">
      <alignment horizontal="center"/>
    </xf>
    <xf numFmtId="0" fontId="7" fillId="5" borderId="1" xfId="0" applyFont="1" applyFill="1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5" borderId="1" xfId="0" applyFill="1" applyBorder="1" applyAlignment="1">
      <alignment vertical="center"/>
    </xf>
    <xf numFmtId="0" fontId="0" fillId="5" borderId="1" xfId="0" applyFill="1" applyBorder="1" applyAlignment="1">
      <alignment horizontal="center" vertical="center"/>
    </xf>
    <xf numFmtId="164" fontId="0" fillId="5" borderId="1" xfId="14" applyFont="1" applyFill="1" applyBorder="1" applyAlignment="1">
      <alignment vertical="center"/>
    </xf>
    <xf numFmtId="173" fontId="0" fillId="5" borderId="1" xfId="14" applyNumberFormat="1" applyFont="1" applyFill="1" applyBorder="1" applyAlignment="1">
      <alignment vertical="center"/>
    </xf>
    <xf numFmtId="0" fontId="0" fillId="5" borderId="0" xfId="0" applyFill="1" applyAlignment="1">
      <alignment vertical="center"/>
    </xf>
    <xf numFmtId="0" fontId="0" fillId="5" borderId="1" xfId="0" applyFill="1" applyBorder="1" applyAlignment="1">
      <alignment vertical="center" wrapText="1"/>
    </xf>
    <xf numFmtId="9" fontId="0" fillId="5" borderId="0" xfId="15" applyFont="1" applyFill="1"/>
    <xf numFmtId="173" fontId="0" fillId="5" borderId="0" xfId="0" applyNumberFormat="1" applyFill="1"/>
    <xf numFmtId="0" fontId="16" fillId="5" borderId="0" xfId="16" applyFont="1" applyFill="1"/>
    <xf numFmtId="0" fontId="8" fillId="5" borderId="62" xfId="16" applyFill="1" applyBorder="1"/>
    <xf numFmtId="0" fontId="8" fillId="5" borderId="0" xfId="16" applyFill="1"/>
    <xf numFmtId="0" fontId="24" fillId="5" borderId="0" xfId="16" applyFont="1" applyFill="1"/>
    <xf numFmtId="0" fontId="24" fillId="5" borderId="0" xfId="16" applyFont="1" applyFill="1" applyBorder="1"/>
    <xf numFmtId="0" fontId="24" fillId="5" borderId="2" xfId="16" applyFont="1" applyFill="1" applyBorder="1" applyAlignment="1">
      <alignment horizontal="center" vertical="center"/>
    </xf>
    <xf numFmtId="0" fontId="24" fillId="5" borderId="62" xfId="16" applyFont="1" applyFill="1" applyBorder="1" applyAlignment="1">
      <alignment horizontal="center" vertical="center"/>
    </xf>
    <xf numFmtId="0" fontId="25" fillId="5" borderId="0" xfId="16" applyFont="1" applyFill="1"/>
    <xf numFmtId="174" fontId="25" fillId="5" borderId="0" xfId="16" applyNumberFormat="1" applyFont="1" applyFill="1"/>
    <xf numFmtId="174" fontId="24" fillId="5" borderId="0" xfId="16" applyNumberFormat="1" applyFont="1" applyFill="1"/>
    <xf numFmtId="174" fontId="24" fillId="5" borderId="0" xfId="16" quotePrefix="1" applyNumberFormat="1" applyFont="1" applyFill="1" applyAlignment="1">
      <alignment horizontal="right"/>
    </xf>
    <xf numFmtId="0" fontId="24" fillId="5" borderId="62" xfId="16" applyFont="1" applyFill="1" applyBorder="1"/>
    <xf numFmtId="174" fontId="24" fillId="5" borderId="62" xfId="16" applyNumberFormat="1" applyFont="1" applyFill="1" applyBorder="1"/>
    <xf numFmtId="0" fontId="7" fillId="5" borderId="0" xfId="0" applyFont="1" applyFill="1"/>
    <xf numFmtId="17" fontId="0" fillId="5" borderId="0" xfId="0" applyNumberFormat="1" applyFill="1"/>
    <xf numFmtId="9" fontId="0" fillId="5" borderId="0" xfId="0" applyNumberFormat="1" applyFill="1"/>
    <xf numFmtId="0" fontId="7" fillId="5" borderId="0" xfId="0" applyFont="1" applyFill="1" applyAlignment="1">
      <alignment horizontal="center" vertical="center" wrapText="1"/>
    </xf>
    <xf numFmtId="173" fontId="7" fillId="5" borderId="1" xfId="14" applyNumberFormat="1" applyFont="1" applyFill="1" applyBorder="1"/>
    <xf numFmtId="173" fontId="0" fillId="5" borderId="0" xfId="14" applyNumberFormat="1" applyFont="1" applyFill="1"/>
    <xf numFmtId="173" fontId="7" fillId="5" borderId="0" xfId="14" applyNumberFormat="1" applyFont="1" applyFill="1"/>
    <xf numFmtId="0" fontId="0" fillId="5" borderId="0" xfId="0" applyFill="1" applyAlignment="1">
      <alignment horizontal="left"/>
    </xf>
    <xf numFmtId="0" fontId="23" fillId="5" borderId="0" xfId="0" applyFont="1" applyFill="1" applyAlignment="1">
      <alignment horizontal="left" vertical="center"/>
    </xf>
    <xf numFmtId="17" fontId="0" fillId="5" borderId="0" xfId="0" applyNumberFormat="1" applyFill="1" applyAlignment="1">
      <alignment horizontal="center" vertical="center"/>
    </xf>
    <xf numFmtId="173" fontId="23" fillId="5" borderId="0" xfId="14" applyNumberFormat="1" applyFont="1" applyFill="1" applyAlignment="1">
      <alignment vertical="center"/>
    </xf>
    <xf numFmtId="0" fontId="23" fillId="5" borderId="0" xfId="0" applyFont="1" applyFill="1" applyAlignment="1">
      <alignment vertical="center"/>
    </xf>
    <xf numFmtId="0" fontId="7" fillId="5" borderId="1" xfId="0" applyFont="1" applyFill="1" applyBorder="1" applyAlignment="1">
      <alignment vertical="center"/>
    </xf>
    <xf numFmtId="0" fontId="7" fillId="5" borderId="1" xfId="0" applyFont="1" applyFill="1" applyBorder="1" applyAlignment="1">
      <alignment horizontal="center" vertical="center"/>
    </xf>
    <xf numFmtId="0" fontId="7" fillId="5" borderId="0" xfId="0" applyFont="1" applyFill="1" applyAlignment="1">
      <alignment vertical="center"/>
    </xf>
    <xf numFmtId="0" fontId="0" fillId="5" borderId="40" xfId="0" applyFill="1" applyBorder="1"/>
    <xf numFmtId="0" fontId="0" fillId="5" borderId="41" xfId="0" applyFill="1" applyBorder="1"/>
    <xf numFmtId="0" fontId="0" fillId="5" borderId="42" xfId="0" applyFill="1" applyBorder="1"/>
    <xf numFmtId="173" fontId="7" fillId="5" borderId="61" xfId="14" applyNumberFormat="1" applyFont="1" applyFill="1" applyBorder="1" applyAlignment="1">
      <alignment horizontal="center" vertical="center" wrapText="1"/>
    </xf>
    <xf numFmtId="0" fontId="7" fillId="5" borderId="45" xfId="0" applyFont="1" applyFill="1" applyBorder="1" applyAlignment="1">
      <alignment horizontal="center" vertical="center" wrapText="1"/>
    </xf>
    <xf numFmtId="0" fontId="7" fillId="5" borderId="0" xfId="0" applyFont="1" applyFill="1" applyAlignment="1">
      <alignment horizontal="left"/>
    </xf>
    <xf numFmtId="0" fontId="0" fillId="5" borderId="38" xfId="0" applyFill="1" applyBorder="1"/>
    <xf numFmtId="0" fontId="0" fillId="5" borderId="0" xfId="0" applyFill="1" applyBorder="1"/>
    <xf numFmtId="0" fontId="0" fillId="5" borderId="39" xfId="0" applyFill="1" applyBorder="1"/>
    <xf numFmtId="0" fontId="18" fillId="5" borderId="0" xfId="0" applyFont="1" applyFill="1" applyAlignment="1">
      <alignment horizontal="left"/>
    </xf>
    <xf numFmtId="0" fontId="28" fillId="5" borderId="0" xfId="0" applyFont="1" applyFill="1" applyAlignment="1">
      <alignment horizontal="center"/>
    </xf>
    <xf numFmtId="0" fontId="28" fillId="5" borderId="38" xfId="0" applyFont="1" applyFill="1" applyBorder="1"/>
    <xf numFmtId="0" fontId="28" fillId="5" borderId="0" xfId="0" applyFont="1" applyFill="1" applyBorder="1"/>
    <xf numFmtId="0" fontId="28" fillId="5" borderId="39" xfId="0" applyFont="1" applyFill="1" applyBorder="1"/>
    <xf numFmtId="0" fontId="0" fillId="5" borderId="1" xfId="0" applyFill="1" applyBorder="1" applyAlignment="1">
      <alignment horizontal="left"/>
    </xf>
    <xf numFmtId="164" fontId="0" fillId="5" borderId="21" xfId="14" applyFont="1" applyFill="1" applyBorder="1"/>
    <xf numFmtId="173" fontId="0" fillId="5" borderId="36" xfId="14" applyNumberFormat="1" applyFont="1" applyFill="1" applyBorder="1"/>
    <xf numFmtId="9" fontId="0" fillId="5" borderId="1" xfId="0" applyNumberFormat="1" applyFill="1" applyBorder="1"/>
    <xf numFmtId="0" fontId="0" fillId="5" borderId="37" xfId="0" applyFill="1" applyBorder="1"/>
    <xf numFmtId="0" fontId="7" fillId="5" borderId="0" xfId="0" applyFont="1" applyFill="1" applyBorder="1" applyAlignment="1">
      <alignment horizontal="left"/>
    </xf>
    <xf numFmtId="0" fontId="7" fillId="5" borderId="0" xfId="0" applyFont="1" applyFill="1" applyAlignment="1">
      <alignment horizontal="center"/>
    </xf>
    <xf numFmtId="0" fontId="7" fillId="5" borderId="38" xfId="0" applyFont="1" applyFill="1" applyBorder="1"/>
    <xf numFmtId="0" fontId="7" fillId="5" borderId="0" xfId="0" applyFont="1" applyFill="1" applyBorder="1" applyAlignment="1">
      <alignment horizontal="right"/>
    </xf>
    <xf numFmtId="173" fontId="7" fillId="5" borderId="0" xfId="0" applyNumberFormat="1" applyFont="1" applyFill="1" applyBorder="1"/>
    <xf numFmtId="0" fontId="7" fillId="5" borderId="39" xfId="0" applyFont="1" applyFill="1" applyBorder="1"/>
    <xf numFmtId="0" fontId="7" fillId="5" borderId="0" xfId="0" applyFont="1" applyFill="1" applyBorder="1"/>
    <xf numFmtId="173" fontId="7" fillId="5" borderId="0" xfId="0" applyNumberFormat="1" applyFont="1" applyFill="1"/>
    <xf numFmtId="173" fontId="28" fillId="5" borderId="0" xfId="14" applyNumberFormat="1" applyFont="1" applyFill="1"/>
    <xf numFmtId="0" fontId="28" fillId="5" borderId="0" xfId="0" applyFont="1" applyFill="1"/>
    <xf numFmtId="173" fontId="0" fillId="5" borderId="21" xfId="14" applyNumberFormat="1" applyFont="1" applyFill="1" applyBorder="1"/>
    <xf numFmtId="0" fontId="0" fillId="5" borderId="36" xfId="0" applyFill="1" applyBorder="1"/>
    <xf numFmtId="0" fontId="19" fillId="5" borderId="0" xfId="0" applyFont="1" applyFill="1" applyAlignment="1">
      <alignment horizontal="left"/>
    </xf>
    <xf numFmtId="0" fontId="19" fillId="5" borderId="0" xfId="0" applyFont="1" applyFill="1" applyAlignment="1">
      <alignment horizontal="center"/>
    </xf>
    <xf numFmtId="173" fontId="19" fillId="5" borderId="0" xfId="14" applyNumberFormat="1" applyFont="1" applyFill="1"/>
    <xf numFmtId="0" fontId="19" fillId="5" borderId="38" xfId="0" applyFont="1" applyFill="1" applyBorder="1"/>
    <xf numFmtId="0" fontId="19" fillId="5" borderId="0" xfId="0" applyFont="1" applyFill="1" applyBorder="1" applyAlignment="1">
      <alignment horizontal="right"/>
    </xf>
    <xf numFmtId="173" fontId="19" fillId="5" borderId="0" xfId="0" applyNumberFormat="1" applyFont="1" applyFill="1" applyBorder="1"/>
    <xf numFmtId="0" fontId="19" fillId="5" borderId="39" xfId="0" applyFont="1" applyFill="1" applyBorder="1"/>
    <xf numFmtId="0" fontId="19" fillId="5" borderId="0" xfId="0" applyFont="1" applyFill="1"/>
    <xf numFmtId="3" fontId="0" fillId="5" borderId="36" xfId="0" applyNumberFormat="1" applyFill="1" applyBorder="1"/>
    <xf numFmtId="173" fontId="0" fillId="5" borderId="36" xfId="0" applyNumberFormat="1" applyFill="1" applyBorder="1"/>
    <xf numFmtId="0" fontId="19" fillId="5" borderId="0" xfId="0" applyFont="1" applyFill="1" applyBorder="1"/>
    <xf numFmtId="173" fontId="19" fillId="5" borderId="0" xfId="14" applyNumberFormat="1" applyFont="1" applyFill="1" applyBorder="1"/>
    <xf numFmtId="0" fontId="20" fillId="5" borderId="0" xfId="0" applyFont="1" applyFill="1" applyAlignment="1">
      <alignment horizontal="left"/>
    </xf>
    <xf numFmtId="0" fontId="20" fillId="5" borderId="0" xfId="0" applyFont="1" applyFill="1" applyAlignment="1">
      <alignment horizontal="center"/>
    </xf>
    <xf numFmtId="173" fontId="20" fillId="5" borderId="0" xfId="14" applyNumberFormat="1" applyFont="1" applyFill="1"/>
    <xf numFmtId="0" fontId="20" fillId="5" borderId="38" xfId="0" applyFont="1" applyFill="1" applyBorder="1"/>
    <xf numFmtId="0" fontId="20" fillId="5" borderId="0" xfId="0" applyFont="1" applyFill="1" applyBorder="1"/>
    <xf numFmtId="173" fontId="20" fillId="5" borderId="0" xfId="0" applyNumberFormat="1" applyFont="1" applyFill="1" applyBorder="1"/>
    <xf numFmtId="0" fontId="20" fillId="5" borderId="39" xfId="0" applyFont="1" applyFill="1" applyBorder="1"/>
    <xf numFmtId="0" fontId="20" fillId="5" borderId="0" xfId="0" applyFont="1" applyFill="1"/>
    <xf numFmtId="173" fontId="20" fillId="5" borderId="0" xfId="0" applyNumberFormat="1" applyFont="1" applyFill="1"/>
    <xf numFmtId="10" fontId="0" fillId="5" borderId="1" xfId="0" applyNumberFormat="1" applyFill="1" applyBorder="1"/>
    <xf numFmtId="0" fontId="21" fillId="5" borderId="0" xfId="0" applyFont="1" applyFill="1" applyBorder="1"/>
    <xf numFmtId="0" fontId="21" fillId="5" borderId="0" xfId="0" applyFont="1" applyFill="1" applyBorder="1" applyAlignment="1">
      <alignment horizontal="left"/>
    </xf>
    <xf numFmtId="0" fontId="21" fillId="5" borderId="0" xfId="0" applyFont="1" applyFill="1" applyBorder="1" applyAlignment="1">
      <alignment horizontal="center"/>
    </xf>
    <xf numFmtId="173" fontId="21" fillId="5" borderId="0" xfId="14" applyNumberFormat="1" applyFont="1" applyFill="1" applyBorder="1"/>
    <xf numFmtId="0" fontId="21" fillId="5" borderId="38" xfId="0" applyFont="1" applyFill="1" applyBorder="1"/>
    <xf numFmtId="173" fontId="21" fillId="5" borderId="0" xfId="0" applyNumberFormat="1" applyFont="1" applyFill="1" applyBorder="1"/>
    <xf numFmtId="0" fontId="21" fillId="5" borderId="39" xfId="0" applyFont="1" applyFill="1" applyBorder="1"/>
    <xf numFmtId="0" fontId="21" fillId="5" borderId="0" xfId="0" applyFont="1" applyFill="1"/>
    <xf numFmtId="0" fontId="0" fillId="5" borderId="0" xfId="0" applyFill="1" applyBorder="1" applyAlignment="1">
      <alignment horizontal="left"/>
    </xf>
    <xf numFmtId="0" fontId="0" fillId="5" borderId="0" xfId="0" applyFill="1" applyBorder="1" applyAlignment="1">
      <alignment horizontal="center"/>
    </xf>
    <xf numFmtId="173" fontId="0" fillId="5" borderId="0" xfId="14" applyNumberFormat="1" applyFont="1" applyFill="1" applyBorder="1"/>
    <xf numFmtId="0" fontId="7" fillId="5" borderId="0" xfId="0" applyFont="1" applyFill="1" applyAlignment="1">
      <alignment vertical="center" wrapText="1"/>
    </xf>
    <xf numFmtId="0" fontId="7" fillId="5" borderId="0" xfId="0" applyFont="1" applyFill="1" applyAlignment="1">
      <alignment horizontal="left" vertical="center" wrapText="1"/>
    </xf>
    <xf numFmtId="173" fontId="7" fillId="5" borderId="21" xfId="14" applyNumberFormat="1" applyFont="1" applyFill="1" applyBorder="1" applyAlignment="1">
      <alignment vertical="center" wrapText="1"/>
    </xf>
    <xf numFmtId="0" fontId="7" fillId="5" borderId="38" xfId="0" applyFont="1" applyFill="1" applyBorder="1" applyAlignment="1">
      <alignment vertical="center" wrapText="1"/>
    </xf>
    <xf numFmtId="0" fontId="7" fillId="5" borderId="0" xfId="0" applyFont="1" applyFill="1" applyBorder="1" applyAlignment="1">
      <alignment vertical="center" wrapText="1"/>
    </xf>
    <xf numFmtId="0" fontId="7" fillId="5" borderId="39" xfId="0" applyFont="1" applyFill="1" applyBorder="1" applyAlignment="1">
      <alignment vertical="center" wrapText="1"/>
    </xf>
    <xf numFmtId="166" fontId="0" fillId="5" borderId="1" xfId="0" applyNumberFormat="1" applyFill="1" applyBorder="1" applyAlignment="1">
      <alignment horizontal="center"/>
    </xf>
    <xf numFmtId="166" fontId="0" fillId="5" borderId="21" xfId="0" applyNumberFormat="1" applyFill="1" applyBorder="1" applyAlignment="1">
      <alignment horizontal="center"/>
    </xf>
    <xf numFmtId="9" fontId="7" fillId="5" borderId="0" xfId="0" applyNumberFormat="1" applyFont="1" applyFill="1" applyAlignment="1">
      <alignment horizontal="center"/>
    </xf>
    <xf numFmtId="173" fontId="7" fillId="5" borderId="0" xfId="14" applyNumberFormat="1" applyFont="1" applyFill="1" applyBorder="1"/>
    <xf numFmtId="173" fontId="20" fillId="5" borderId="0" xfId="14" applyNumberFormat="1" applyFont="1" applyFill="1" applyBorder="1"/>
    <xf numFmtId="9" fontId="20" fillId="5" borderId="0" xfId="0" applyNumberFormat="1" applyFont="1" applyFill="1" applyAlignment="1">
      <alignment horizontal="center"/>
    </xf>
    <xf numFmtId="0" fontId="20" fillId="5" borderId="40" xfId="0" applyFont="1" applyFill="1" applyBorder="1"/>
    <xf numFmtId="0" fontId="20" fillId="5" borderId="41" xfId="0" applyFont="1" applyFill="1" applyBorder="1"/>
    <xf numFmtId="173" fontId="20" fillId="5" borderId="41" xfId="0" applyNumberFormat="1" applyFont="1" applyFill="1" applyBorder="1"/>
    <xf numFmtId="0" fontId="20" fillId="5" borderId="42" xfId="0" applyFont="1" applyFill="1" applyBorder="1"/>
    <xf numFmtId="0" fontId="5" fillId="6" borderId="1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horizontal="left" vertical="center" indent="3"/>
    </xf>
    <xf numFmtId="3" fontId="5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0" fillId="0" borderId="0" xfId="0" applyBorder="1"/>
    <xf numFmtId="9" fontId="7" fillId="0" borderId="0" xfId="0" applyNumberFormat="1" applyFont="1"/>
    <xf numFmtId="0" fontId="7" fillId="0" borderId="0" xfId="0" applyFont="1" applyBorder="1"/>
    <xf numFmtId="4" fontId="5" fillId="0" borderId="1" xfId="0" applyNumberFormat="1" applyFont="1" applyFill="1" applyBorder="1" applyAlignment="1">
      <alignment vertical="center"/>
    </xf>
    <xf numFmtId="0" fontId="7" fillId="0" borderId="0" xfId="0" applyFont="1" applyFill="1"/>
    <xf numFmtId="0" fontId="8" fillId="0" borderId="0" xfId="0" applyFont="1" applyFill="1"/>
    <xf numFmtId="0" fontId="29" fillId="0" borderId="0" xfId="0" applyFont="1" applyFill="1" applyAlignment="1">
      <alignment horizontal="center" wrapText="1"/>
    </xf>
    <xf numFmtId="0" fontId="29" fillId="0" borderId="0" xfId="0" applyFont="1" applyFill="1" applyAlignment="1">
      <alignment wrapText="1"/>
    </xf>
    <xf numFmtId="0" fontId="30" fillId="0" borderId="0" xfId="0" applyFont="1" applyFill="1"/>
    <xf numFmtId="0" fontId="8" fillId="0" borderId="0" xfId="0" applyFont="1" applyFill="1" applyAlignment="1">
      <alignment horizontal="right"/>
    </xf>
    <xf numFmtId="0" fontId="30" fillId="0" borderId="0" xfId="0" quotePrefix="1" applyFont="1" applyFill="1" applyAlignment="1">
      <alignment horizontal="left" vertical="top"/>
    </xf>
    <xf numFmtId="0" fontId="30" fillId="0" borderId="0" xfId="0" applyFont="1" applyFill="1" applyAlignment="1">
      <alignment horizontal="left" vertical="top" wrapText="1"/>
    </xf>
    <xf numFmtId="0" fontId="15" fillId="0" borderId="0" xfId="0" applyFont="1"/>
    <xf numFmtId="0" fontId="31" fillId="7" borderId="43" xfId="0" applyFont="1" applyFill="1" applyBorder="1" applyAlignment="1">
      <alignment vertical="center"/>
    </xf>
    <xf numFmtId="0" fontId="8" fillId="0" borderId="69" xfId="0" applyFont="1" applyFill="1" applyBorder="1" applyAlignment="1">
      <alignment horizontal="right"/>
    </xf>
    <xf numFmtId="0" fontId="8" fillId="0" borderId="69" xfId="0" applyFont="1" applyFill="1" applyBorder="1" applyAlignment="1">
      <alignment horizontal="center"/>
    </xf>
    <xf numFmtId="0" fontId="8" fillId="0" borderId="69" xfId="0" applyFont="1" applyFill="1" applyBorder="1"/>
    <xf numFmtId="0" fontId="9" fillId="7" borderId="44" xfId="0" applyFont="1" applyFill="1" applyBorder="1" applyAlignment="1">
      <alignment horizontal="left" vertical="center"/>
    </xf>
    <xf numFmtId="0" fontId="8" fillId="0" borderId="48" xfId="0" applyFont="1" applyFill="1" applyBorder="1"/>
    <xf numFmtId="0" fontId="31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horizontal="right"/>
    </xf>
    <xf numFmtId="0" fontId="8" fillId="0" borderId="0" xfId="0" applyFont="1" applyFill="1" applyBorder="1" applyAlignment="1">
      <alignment horizontal="center"/>
    </xf>
    <xf numFmtId="0" fontId="8" fillId="0" borderId="0" xfId="0" applyFont="1" applyFill="1" applyBorder="1"/>
    <xf numFmtId="0" fontId="9" fillId="0" borderId="0" xfId="0" applyFont="1" applyFill="1" applyBorder="1" applyAlignment="1">
      <alignment horizontal="left" vertical="center"/>
    </xf>
    <xf numFmtId="0" fontId="8" fillId="0" borderId="1" xfId="0" applyFont="1" applyFill="1" applyBorder="1"/>
    <xf numFmtId="0" fontId="9" fillId="0" borderId="33" xfId="0" applyFont="1" applyFill="1" applyBorder="1" applyAlignment="1">
      <alignment horizontal="center" vertical="center" wrapText="1"/>
    </xf>
    <xf numFmtId="0" fontId="9" fillId="0" borderId="34" xfId="0" applyFont="1" applyFill="1" applyBorder="1" applyAlignment="1">
      <alignment horizontal="center" vertical="center" wrapText="1"/>
    </xf>
    <xf numFmtId="0" fontId="9" fillId="0" borderId="35" xfId="0" applyFont="1" applyFill="1" applyBorder="1" applyAlignment="1">
      <alignment horizontal="center" vertical="center" wrapText="1"/>
    </xf>
    <xf numFmtId="0" fontId="8" fillId="0" borderId="52" xfId="0" applyFont="1" applyFill="1" applyBorder="1" applyAlignment="1">
      <alignment horizontal="center" vertical="center"/>
    </xf>
    <xf numFmtId="0" fontId="8" fillId="0" borderId="51" xfId="0" applyFont="1" applyFill="1" applyBorder="1" applyAlignment="1">
      <alignment horizontal="center" vertical="center"/>
    </xf>
    <xf numFmtId="0" fontId="8" fillId="0" borderId="53" xfId="0" applyFont="1" applyFill="1" applyBorder="1" applyAlignment="1">
      <alignment horizontal="center" vertical="center"/>
    </xf>
    <xf numFmtId="0" fontId="9" fillId="7" borderId="68" xfId="0" applyFont="1" applyFill="1" applyBorder="1" applyAlignment="1">
      <alignment horizontal="center"/>
    </xf>
    <xf numFmtId="0" fontId="9" fillId="7" borderId="66" xfId="0" applyFont="1" applyFill="1" applyBorder="1"/>
    <xf numFmtId="0" fontId="8" fillId="7" borderId="66" xfId="0" applyFont="1" applyFill="1" applyBorder="1"/>
    <xf numFmtId="4" fontId="8" fillId="7" borderId="66" xfId="0" applyNumberFormat="1" applyFont="1" applyFill="1" applyBorder="1"/>
    <xf numFmtId="4" fontId="9" fillId="8" borderId="35" xfId="0" applyNumberFormat="1" applyFont="1" applyFill="1" applyBorder="1"/>
    <xf numFmtId="0" fontId="9" fillId="0" borderId="36" xfId="0" applyFont="1" applyBorder="1" applyAlignment="1">
      <alignment horizontal="center" vertical="center"/>
    </xf>
    <xf numFmtId="0" fontId="8" fillId="0" borderId="1" xfId="0" applyFont="1" applyFill="1" applyBorder="1" applyAlignment="1">
      <alignment horizontal="center"/>
    </xf>
    <xf numFmtId="4" fontId="8" fillId="0" borderId="1" xfId="0" applyNumberFormat="1" applyFont="1" applyFill="1" applyBorder="1"/>
    <xf numFmtId="0" fontId="8" fillId="0" borderId="73" xfId="0" applyFont="1" applyFill="1" applyBorder="1"/>
    <xf numFmtId="0" fontId="8" fillId="0" borderId="74" xfId="0" applyFont="1" applyFill="1" applyBorder="1"/>
    <xf numFmtId="0" fontId="8" fillId="0" borderId="36" xfId="0" applyFont="1" applyFill="1" applyBorder="1" applyAlignment="1">
      <alignment horizontal="center"/>
    </xf>
    <xf numFmtId="0" fontId="8" fillId="0" borderId="75" xfId="0" applyFont="1" applyFill="1" applyBorder="1"/>
    <xf numFmtId="0" fontId="8" fillId="0" borderId="76" xfId="0" applyFont="1" applyFill="1" applyBorder="1" applyAlignment="1">
      <alignment horizontal="center"/>
    </xf>
    <xf numFmtId="0" fontId="8" fillId="0" borderId="63" xfId="0" applyFont="1" applyFill="1" applyBorder="1"/>
    <xf numFmtId="0" fontId="8" fillId="0" borderId="63" xfId="0" applyFont="1" applyFill="1" applyBorder="1" applyAlignment="1">
      <alignment horizontal="center"/>
    </xf>
    <xf numFmtId="0" fontId="8" fillId="0" borderId="63" xfId="0" applyFont="1" applyFill="1" applyBorder="1" applyAlignment="1">
      <alignment horizontal="right"/>
    </xf>
    <xf numFmtId="0" fontId="8" fillId="0" borderId="39" xfId="0" applyFont="1" applyFill="1" applyBorder="1"/>
    <xf numFmtId="0" fontId="9" fillId="7" borderId="77" xfId="0" applyFont="1" applyFill="1" applyBorder="1" applyAlignment="1">
      <alignment horizontal="center"/>
    </xf>
    <xf numFmtId="0" fontId="9" fillId="7" borderId="2" xfId="0" applyFont="1" applyFill="1" applyBorder="1"/>
    <xf numFmtId="0" fontId="8" fillId="7" borderId="2" xfId="0" applyFont="1" applyFill="1" applyBorder="1" applyAlignment="1">
      <alignment horizontal="center"/>
    </xf>
    <xf numFmtId="4" fontId="8" fillId="7" borderId="2" xfId="0" applyNumberFormat="1" applyFont="1" applyFill="1" applyBorder="1"/>
    <xf numFmtId="4" fontId="8" fillId="7" borderId="3" xfId="0" applyNumberFormat="1" applyFont="1" applyFill="1" applyBorder="1" applyAlignment="1">
      <alignment horizontal="center"/>
    </xf>
    <xf numFmtId="4" fontId="9" fillId="8" borderId="37" xfId="0" applyNumberFormat="1" applyFont="1" applyFill="1" applyBorder="1"/>
    <xf numFmtId="176" fontId="8" fillId="0" borderId="1" xfId="17" applyNumberFormat="1" applyFont="1" applyFill="1" applyBorder="1" applyAlignment="1">
      <alignment horizontal="center" vertical="center"/>
    </xf>
    <xf numFmtId="177" fontId="8" fillId="0" borderId="1" xfId="0" applyNumberFormat="1" applyFont="1" applyFill="1" applyBorder="1" applyAlignment="1"/>
    <xf numFmtId="164" fontId="8" fillId="0" borderId="73" xfId="17" applyFont="1" applyFill="1" applyBorder="1"/>
    <xf numFmtId="0" fontId="9" fillId="0" borderId="0" xfId="0" applyFont="1" applyAlignment="1">
      <alignment horizontal="center" vertical="center" wrapText="1"/>
    </xf>
    <xf numFmtId="164" fontId="8" fillId="0" borderId="74" xfId="17" applyFont="1" applyFill="1" applyBorder="1"/>
    <xf numFmtId="0" fontId="8" fillId="0" borderId="1" xfId="0" applyFont="1" applyFill="1" applyBorder="1" applyAlignment="1">
      <alignment horizontal="left"/>
    </xf>
    <xf numFmtId="176" fontId="8" fillId="0" borderId="1" xfId="18" applyNumberFormat="1" applyFont="1" applyFill="1" applyBorder="1" applyAlignment="1">
      <alignment horizontal="center" vertical="center"/>
    </xf>
    <xf numFmtId="164" fontId="8" fillId="0" borderId="75" xfId="17" applyFont="1" applyFill="1" applyBorder="1"/>
    <xf numFmtId="0" fontId="8" fillId="0" borderId="38" xfId="0" applyFont="1" applyFill="1" applyBorder="1" applyAlignment="1">
      <alignment horizontal="center"/>
    </xf>
    <xf numFmtId="2" fontId="8" fillId="0" borderId="1" xfId="0" applyNumberFormat="1" applyFont="1" applyFill="1" applyBorder="1"/>
    <xf numFmtId="4" fontId="8" fillId="0" borderId="0" xfId="0" applyNumberFormat="1" applyFont="1" applyFill="1" applyBorder="1"/>
    <xf numFmtId="4" fontId="8" fillId="0" borderId="63" xfId="0" applyNumberFormat="1" applyFont="1" applyFill="1" applyBorder="1"/>
    <xf numFmtId="0" fontId="8" fillId="0" borderId="4" xfId="0" applyFont="1" applyBorder="1"/>
    <xf numFmtId="2" fontId="8" fillId="0" borderId="1" xfId="0" applyNumberFormat="1" applyFont="1" applyFill="1" applyBorder="1" applyAlignment="1">
      <alignment horizontal="center"/>
    </xf>
    <xf numFmtId="1" fontId="8" fillId="0" borderId="1" xfId="0" applyNumberFormat="1" applyFont="1" applyFill="1" applyBorder="1" applyAlignment="1">
      <alignment horizontal="center"/>
    </xf>
    <xf numFmtId="0" fontId="32" fillId="0" borderId="0" xfId="0" applyFont="1" applyFill="1" applyBorder="1"/>
    <xf numFmtId="0" fontId="8" fillId="0" borderId="78" xfId="0" applyFont="1" applyFill="1" applyBorder="1"/>
    <xf numFmtId="0" fontId="8" fillId="0" borderId="52" xfId="0" applyFont="1" applyFill="1" applyBorder="1" applyAlignment="1">
      <alignment horizontal="center"/>
    </xf>
    <xf numFmtId="0" fontId="8" fillId="0" borderId="51" xfId="0" applyFont="1" applyFill="1" applyBorder="1"/>
    <xf numFmtId="0" fontId="8" fillId="0" borderId="51" xfId="0" applyFont="1" applyFill="1" applyBorder="1" applyAlignment="1">
      <alignment horizontal="center"/>
    </xf>
    <xf numFmtId="4" fontId="8" fillId="0" borderId="51" xfId="0" applyNumberFormat="1" applyFont="1" applyFill="1" applyBorder="1"/>
    <xf numFmtId="0" fontId="8" fillId="0" borderId="79" xfId="0" applyFont="1" applyFill="1" applyBorder="1"/>
    <xf numFmtId="4" fontId="8" fillId="0" borderId="69" xfId="0" applyNumberFormat="1" applyFont="1" applyFill="1" applyBorder="1"/>
    <xf numFmtId="0" fontId="9" fillId="4" borderId="80" xfId="0" applyFont="1" applyFill="1" applyBorder="1" applyAlignment="1">
      <alignment horizontal="center"/>
    </xf>
    <xf numFmtId="0" fontId="9" fillId="4" borderId="81" xfId="0" applyFont="1" applyFill="1" applyBorder="1"/>
    <xf numFmtId="0" fontId="8" fillId="4" borderId="81" xfId="0" applyFont="1" applyFill="1" applyBorder="1" applyAlignment="1">
      <alignment horizontal="center"/>
    </xf>
    <xf numFmtId="4" fontId="8" fillId="4" borderId="81" xfId="0" applyNumberFormat="1" applyFont="1" applyFill="1" applyBorder="1"/>
    <xf numFmtId="4" fontId="9" fillId="4" borderId="82" xfId="0" applyNumberFormat="1" applyFont="1" applyFill="1" applyBorder="1"/>
    <xf numFmtId="0" fontId="9" fillId="0" borderId="77" xfId="0" applyFont="1" applyFill="1" applyBorder="1" applyAlignment="1">
      <alignment horizontal="center"/>
    </xf>
    <xf numFmtId="0" fontId="0" fillId="0" borderId="2" xfId="0" quotePrefix="1" applyFont="1" applyFill="1" applyBorder="1" applyAlignment="1">
      <alignment horizontal="left"/>
    </xf>
    <xf numFmtId="0" fontId="8" fillId="0" borderId="2" xfId="0" applyFont="1" applyFill="1" applyBorder="1" applyAlignment="1">
      <alignment horizontal="center"/>
    </xf>
    <xf numFmtId="4" fontId="8" fillId="0" borderId="2" xfId="0" applyNumberFormat="1" applyFont="1" applyFill="1" applyBorder="1"/>
    <xf numFmtId="4" fontId="8" fillId="0" borderId="55" xfId="0" applyNumberFormat="1" applyFont="1" applyFill="1" applyBorder="1"/>
    <xf numFmtId="0" fontId="9" fillId="2" borderId="77" xfId="0" applyFont="1" applyFill="1" applyBorder="1" applyAlignment="1">
      <alignment horizontal="center"/>
    </xf>
    <xf numFmtId="0" fontId="9" fillId="2" borderId="2" xfId="0" applyFont="1" applyFill="1" applyBorder="1"/>
    <xf numFmtId="0" fontId="8" fillId="2" borderId="2" xfId="0" applyFont="1" applyFill="1" applyBorder="1" applyAlignment="1">
      <alignment horizontal="center"/>
    </xf>
    <xf numFmtId="4" fontId="8" fillId="2" borderId="2" xfId="0" applyNumberFormat="1" applyFont="1" applyFill="1" applyBorder="1"/>
    <xf numFmtId="4" fontId="9" fillId="2" borderId="55" xfId="0" applyNumberFormat="1" applyFont="1" applyFill="1" applyBorder="1"/>
    <xf numFmtId="0" fontId="0" fillId="0" borderId="2" xfId="0" applyFont="1" applyFill="1" applyBorder="1"/>
    <xf numFmtId="0" fontId="9" fillId="9" borderId="83" xfId="0" applyFont="1" applyFill="1" applyBorder="1" applyAlignment="1">
      <alignment horizontal="center"/>
    </xf>
    <xf numFmtId="0" fontId="9" fillId="9" borderId="70" xfId="0" applyFont="1" applyFill="1" applyBorder="1"/>
    <xf numFmtId="4" fontId="9" fillId="9" borderId="56" xfId="0" applyNumberFormat="1" applyFont="1" applyFill="1" applyBorder="1"/>
    <xf numFmtId="164" fontId="8" fillId="0" borderId="0" xfId="17" applyFont="1" applyFill="1"/>
    <xf numFmtId="4" fontId="8" fillId="0" borderId="0" xfId="0" applyNumberFormat="1" applyFont="1" applyFill="1"/>
    <xf numFmtId="0" fontId="34" fillId="0" borderId="0" xfId="0" applyFont="1" applyFill="1"/>
    <xf numFmtId="0" fontId="30" fillId="0" borderId="0" xfId="0" applyFont="1"/>
    <xf numFmtId="0" fontId="30" fillId="0" borderId="0" xfId="0" quotePrefix="1" applyFont="1" applyFill="1" applyAlignment="1">
      <alignment horizontal="left" vertical="top" wrapText="1"/>
    </xf>
    <xf numFmtId="0" fontId="24" fillId="0" borderId="49" xfId="0" applyFont="1" applyBorder="1" applyAlignment="1">
      <alignment horizontal="center" vertical="center" wrapText="1"/>
    </xf>
    <xf numFmtId="0" fontId="24" fillId="0" borderId="20" xfId="0" applyFont="1" applyBorder="1" applyAlignment="1">
      <alignment horizontal="center" vertical="center" wrapText="1"/>
    </xf>
    <xf numFmtId="0" fontId="24" fillId="0" borderId="74" xfId="0" applyFont="1" applyBorder="1" applyAlignment="1">
      <alignment horizontal="center" vertical="center" wrapText="1"/>
    </xf>
    <xf numFmtId="0" fontId="24" fillId="0" borderId="50" xfId="0" applyFont="1" applyBorder="1" applyAlignment="1">
      <alignment horizontal="center" vertical="center" wrapText="1"/>
    </xf>
    <xf numFmtId="0" fontId="24" fillId="0" borderId="90" xfId="0" applyFont="1" applyBorder="1" applyAlignment="1">
      <alignment horizontal="center" vertical="center" wrapText="1"/>
    </xf>
    <xf numFmtId="0" fontId="24" fillId="0" borderId="79" xfId="0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5" fillId="0" borderId="91" xfId="0" applyFont="1" applyBorder="1" applyAlignment="1">
      <alignment horizontal="center" vertical="center" wrapText="1"/>
    </xf>
    <xf numFmtId="0" fontId="25" fillId="0" borderId="69" xfId="0" applyFont="1" applyBorder="1" applyAlignment="1">
      <alignment horizontal="center" vertical="center" wrapText="1"/>
    </xf>
    <xf numFmtId="0" fontId="25" fillId="0" borderId="48" xfId="0" applyFont="1" applyBorder="1" applyAlignment="1">
      <alignment horizontal="center" vertical="center" wrapText="1"/>
    </xf>
    <xf numFmtId="0" fontId="0" fillId="0" borderId="87" xfId="0" applyBorder="1" applyAlignment="1">
      <alignment horizontal="center"/>
    </xf>
    <xf numFmtId="0" fontId="24" fillId="0" borderId="88" xfId="0" applyFont="1" applyBorder="1" applyAlignment="1">
      <alignment horizontal="center"/>
    </xf>
    <xf numFmtId="0" fontId="0" fillId="0" borderId="88" xfId="0" applyBorder="1"/>
    <xf numFmtId="0" fontId="0" fillId="0" borderId="88" xfId="0" applyBorder="1" applyAlignment="1">
      <alignment horizontal="center"/>
    </xf>
    <xf numFmtId="3" fontId="0" fillId="0" borderId="89" xfId="0" applyNumberFormat="1" applyBorder="1"/>
    <xf numFmtId="0" fontId="0" fillId="0" borderId="92" xfId="0" applyFill="1" applyBorder="1" applyAlignment="1">
      <alignment horizontal="center"/>
    </xf>
    <xf numFmtId="0" fontId="24" fillId="0" borderId="15" xfId="0" applyFont="1" applyFill="1" applyBorder="1" applyAlignment="1">
      <alignment horizontal="center"/>
    </xf>
    <xf numFmtId="0" fontId="0" fillId="0" borderId="15" xfId="0" applyFill="1" applyBorder="1"/>
    <xf numFmtId="0" fontId="0" fillId="0" borderId="15" xfId="0" applyFill="1" applyBorder="1" applyAlignment="1">
      <alignment horizontal="center"/>
    </xf>
    <xf numFmtId="3" fontId="0" fillId="0" borderId="93" xfId="0" applyNumberFormat="1" applyFill="1" applyBorder="1"/>
    <xf numFmtId="0" fontId="0" fillId="0" borderId="87" xfId="0" applyFill="1" applyBorder="1" applyAlignment="1">
      <alignment horizontal="center"/>
    </xf>
    <xf numFmtId="0" fontId="24" fillId="0" borderId="88" xfId="0" applyFont="1" applyFill="1" applyBorder="1" applyAlignment="1">
      <alignment horizontal="center"/>
    </xf>
    <xf numFmtId="0" fontId="0" fillId="0" borderId="88" xfId="0" applyFill="1" applyBorder="1"/>
    <xf numFmtId="0" fontId="0" fillId="0" borderId="88" xfId="0" applyFill="1" applyBorder="1" applyAlignment="1">
      <alignment horizontal="center"/>
    </xf>
    <xf numFmtId="3" fontId="0" fillId="0" borderId="89" xfId="0" applyNumberFormat="1" applyFill="1" applyBorder="1"/>
    <xf numFmtId="0" fontId="0" fillId="0" borderId="92" xfId="0" applyBorder="1" applyAlignment="1">
      <alignment horizontal="center"/>
    </xf>
    <xf numFmtId="0" fontId="24" fillId="0" borderId="15" xfId="0" applyFont="1" applyBorder="1" applyAlignment="1">
      <alignment horizontal="center"/>
    </xf>
    <xf numFmtId="0" fontId="0" fillId="0" borderId="15" xfId="0" applyBorder="1"/>
    <xf numFmtId="0" fontId="0" fillId="0" borderId="15" xfId="0" applyBorder="1" applyAlignment="1">
      <alignment horizontal="center"/>
    </xf>
    <xf numFmtId="3" fontId="0" fillId="0" borderId="93" xfId="0" applyNumberFormat="1" applyBorder="1"/>
    <xf numFmtId="0" fontId="0" fillId="0" borderId="94" xfId="0" applyBorder="1" applyAlignment="1">
      <alignment horizontal="center"/>
    </xf>
    <xf numFmtId="0" fontId="24" fillId="0" borderId="95" xfId="0" applyFont="1" applyBorder="1" applyAlignment="1">
      <alignment horizontal="center"/>
    </xf>
    <xf numFmtId="0" fontId="0" fillId="0" borderId="95" xfId="0" applyBorder="1"/>
    <xf numFmtId="0" fontId="0" fillId="0" borderId="95" xfId="0" applyBorder="1" applyAlignment="1">
      <alignment horizontal="center"/>
    </xf>
    <xf numFmtId="3" fontId="0" fillId="0" borderId="96" xfId="0" applyNumberFormat="1" applyBorder="1"/>
    <xf numFmtId="0" fontId="30" fillId="0" borderId="0" xfId="0" quotePrefix="1" applyFont="1" applyFill="1" applyAlignment="1">
      <alignment horizontal="left"/>
    </xf>
    <xf numFmtId="0" fontId="9" fillId="0" borderId="88" xfId="0" applyFont="1" applyBorder="1" applyAlignment="1">
      <alignment horizontal="center" vertical="center" wrapText="1"/>
    </xf>
    <xf numFmtId="0" fontId="24" fillId="0" borderId="47" xfId="0" applyFont="1" applyBorder="1" applyAlignment="1">
      <alignment horizontal="center" vertical="center" wrapText="1"/>
    </xf>
    <xf numFmtId="0" fontId="24" fillId="0" borderId="47" xfId="0" quotePrefix="1" applyFont="1" applyBorder="1" applyAlignment="1">
      <alignment horizontal="center" vertical="center" wrapText="1"/>
    </xf>
    <xf numFmtId="0" fontId="0" fillId="0" borderId="4" xfId="0" applyBorder="1" applyAlignment="1">
      <alignment horizontal="center"/>
    </xf>
    <xf numFmtId="0" fontId="24" fillId="0" borderId="4" xfId="0" applyFont="1" applyBorder="1" applyAlignment="1">
      <alignment horizontal="center"/>
    </xf>
    <xf numFmtId="0" fontId="0" fillId="0" borderId="4" xfId="0" applyBorder="1"/>
    <xf numFmtId="3" fontId="0" fillId="0" borderId="4" xfId="0" applyNumberFormat="1" applyBorder="1"/>
    <xf numFmtId="4" fontId="0" fillId="0" borderId="4" xfId="0" applyNumberFormat="1" applyBorder="1"/>
    <xf numFmtId="0" fontId="0" fillId="0" borderId="7" xfId="0" applyFill="1" applyBorder="1" applyAlignment="1">
      <alignment horizontal="center"/>
    </xf>
    <xf numFmtId="0" fontId="24" fillId="0" borderId="7" xfId="0" applyFont="1" applyFill="1" applyBorder="1" applyAlignment="1">
      <alignment horizontal="center"/>
    </xf>
    <xf numFmtId="0" fontId="0" fillId="0" borderId="7" xfId="0" applyFill="1" applyBorder="1"/>
    <xf numFmtId="3" fontId="0" fillId="0" borderId="7" xfId="0" applyNumberFormat="1" applyFill="1" applyBorder="1"/>
    <xf numFmtId="4" fontId="0" fillId="0" borderId="7" xfId="0" applyNumberFormat="1" applyFill="1" applyBorder="1"/>
    <xf numFmtId="0" fontId="0" fillId="0" borderId="7" xfId="0" applyBorder="1" applyAlignment="1">
      <alignment horizontal="center"/>
    </xf>
    <xf numFmtId="0" fontId="24" fillId="0" borderId="7" xfId="0" applyFont="1" applyBorder="1" applyAlignment="1">
      <alignment horizontal="center"/>
    </xf>
    <xf numFmtId="0" fontId="0" fillId="0" borderId="7" xfId="0" applyBorder="1"/>
    <xf numFmtId="3" fontId="0" fillId="0" borderId="7" xfId="0" applyNumberFormat="1" applyBorder="1"/>
    <xf numFmtId="4" fontId="0" fillId="0" borderId="7" xfId="0" applyNumberFormat="1" applyBorder="1"/>
    <xf numFmtId="0" fontId="0" fillId="0" borderId="97" xfId="0" applyFill="1" applyBorder="1" applyAlignment="1">
      <alignment horizontal="center"/>
    </xf>
    <xf numFmtId="0" fontId="24" fillId="0" borderId="97" xfId="0" applyFont="1" applyFill="1" applyBorder="1" applyAlignment="1">
      <alignment horizontal="center"/>
    </xf>
    <xf numFmtId="0" fontId="0" fillId="0" borderId="97" xfId="0" applyFill="1" applyBorder="1"/>
    <xf numFmtId="3" fontId="0" fillId="0" borderId="97" xfId="0" applyNumberFormat="1" applyFill="1" applyBorder="1"/>
    <xf numFmtId="4" fontId="0" fillId="0" borderId="97" xfId="0" applyNumberFormat="1" applyFill="1" applyBorder="1"/>
    <xf numFmtId="0" fontId="16" fillId="0" borderId="0" xfId="0" applyFont="1"/>
    <xf numFmtId="0" fontId="35" fillId="0" borderId="0" xfId="0" applyFont="1" applyAlignment="1">
      <alignment horizontal="right"/>
    </xf>
    <xf numFmtId="0" fontId="35" fillId="0" borderId="0" xfId="0" applyFont="1"/>
    <xf numFmtId="0" fontId="34" fillId="0" borderId="0" xfId="0" applyFont="1" applyAlignment="1">
      <alignment horizontal="center"/>
    </xf>
    <xf numFmtId="0" fontId="9" fillId="0" borderId="21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top" wrapText="1"/>
    </xf>
    <xf numFmtId="0" fontId="8" fillId="0" borderId="0" xfId="0" applyFont="1" applyAlignment="1">
      <alignment vertical="top" wrapText="1"/>
    </xf>
    <xf numFmtId="0" fontId="9" fillId="0" borderId="0" xfId="0" applyFont="1" applyAlignment="1">
      <alignment horizontal="center" vertical="top" wrapText="1"/>
    </xf>
    <xf numFmtId="4" fontId="8" fillId="0" borderId="58" xfId="17" applyNumberFormat="1" applyFont="1" applyBorder="1" applyAlignment="1">
      <alignment vertical="top" wrapText="1"/>
    </xf>
    <xf numFmtId="4" fontId="8" fillId="0" borderId="0" xfId="17" applyNumberFormat="1" applyFont="1" applyBorder="1" applyAlignment="1">
      <alignment vertical="top" wrapText="1"/>
    </xf>
    <xf numFmtId="4" fontId="8" fillId="0" borderId="98" xfId="17" applyNumberFormat="1" applyFont="1" applyBorder="1" applyAlignment="1">
      <alignment vertical="top" wrapText="1"/>
    </xf>
    <xf numFmtId="0" fontId="8" fillId="0" borderId="0" xfId="0" applyFont="1" applyAlignment="1">
      <alignment horizontal="center" vertical="top"/>
    </xf>
    <xf numFmtId="0" fontId="0" fillId="0" borderId="0" xfId="0" applyAlignment="1">
      <alignment vertical="top" wrapText="1"/>
    </xf>
    <xf numFmtId="0" fontId="0" fillId="0" borderId="0" xfId="0" applyAlignment="1">
      <alignment vertical="top"/>
    </xf>
    <xf numFmtId="4" fontId="0" fillId="0" borderId="58" xfId="17" applyNumberFormat="1" applyFont="1" applyBorder="1" applyAlignment="1">
      <alignment vertical="top"/>
    </xf>
    <xf numFmtId="4" fontId="0" fillId="0" borderId="0" xfId="17" applyNumberFormat="1" applyFont="1" applyBorder="1" applyAlignment="1">
      <alignment vertical="top"/>
    </xf>
    <xf numFmtId="4" fontId="0" fillId="0" borderId="98" xfId="17" applyNumberFormat="1" applyFont="1" applyBorder="1" applyAlignment="1">
      <alignment vertical="top"/>
    </xf>
    <xf numFmtId="9" fontId="0" fillId="0" borderId="0" xfId="0" applyNumberFormat="1" applyAlignment="1">
      <alignment vertical="top"/>
    </xf>
    <xf numFmtId="0" fontId="0" fillId="0" borderId="0" xfId="0" applyAlignment="1">
      <alignment horizontal="right" vertical="top"/>
    </xf>
    <xf numFmtId="0" fontId="9" fillId="0" borderId="0" xfId="0" applyFont="1" applyAlignment="1">
      <alignment vertical="top" wrapText="1"/>
    </xf>
    <xf numFmtId="0" fontId="9" fillId="0" borderId="0" xfId="0" applyFont="1" applyAlignment="1">
      <alignment vertical="top"/>
    </xf>
    <xf numFmtId="4" fontId="9" fillId="0" borderId="58" xfId="17" applyNumberFormat="1" applyFont="1" applyBorder="1" applyAlignment="1">
      <alignment vertical="top"/>
    </xf>
    <xf numFmtId="4" fontId="9" fillId="0" borderId="0" xfId="17" applyNumberFormat="1" applyFont="1" applyBorder="1" applyAlignment="1">
      <alignment vertical="top"/>
    </xf>
    <xf numFmtId="4" fontId="9" fillId="0" borderId="98" xfId="17" applyNumberFormat="1" applyFont="1" applyBorder="1" applyAlignment="1">
      <alignment vertical="top"/>
    </xf>
    <xf numFmtId="10" fontId="0" fillId="0" borderId="0" xfId="0" applyNumberFormat="1" applyAlignment="1">
      <alignment vertical="top"/>
    </xf>
    <xf numFmtId="166" fontId="0" fillId="0" borderId="0" xfId="0" applyNumberFormat="1" applyAlignment="1">
      <alignment vertical="top"/>
    </xf>
    <xf numFmtId="0" fontId="9" fillId="0" borderId="0" xfId="0" applyFont="1" applyAlignment="1">
      <alignment horizontal="center" vertical="top"/>
    </xf>
    <xf numFmtId="4" fontId="8" fillId="0" borderId="58" xfId="17" applyNumberFormat="1" applyFont="1" applyBorder="1" applyAlignment="1">
      <alignment vertical="top"/>
    </xf>
    <xf numFmtId="4" fontId="8" fillId="0" borderId="0" xfId="17" applyNumberFormat="1" applyFont="1" applyBorder="1" applyAlignment="1">
      <alignment vertical="top"/>
    </xf>
    <xf numFmtId="4" fontId="8" fillId="0" borderId="98" xfId="17" applyNumberFormat="1" applyFont="1" applyBorder="1" applyAlignment="1">
      <alignment vertical="top"/>
    </xf>
    <xf numFmtId="17" fontId="0" fillId="0" borderId="0" xfId="0" applyNumberFormat="1"/>
    <xf numFmtId="4" fontId="9" fillId="0" borderId="64" xfId="17" applyNumberFormat="1" applyFont="1" applyBorder="1" applyAlignment="1">
      <alignment vertical="top"/>
    </xf>
    <xf numFmtId="4" fontId="9" fillId="0" borderId="62" xfId="17" applyNumberFormat="1" applyFont="1" applyBorder="1" applyAlignment="1">
      <alignment vertical="top"/>
    </xf>
    <xf numFmtId="4" fontId="9" fillId="0" borderId="99" xfId="17" applyNumberFormat="1" applyFont="1" applyBorder="1" applyAlignment="1">
      <alignment vertical="top"/>
    </xf>
    <xf numFmtId="0" fontId="9" fillId="0" borderId="2" xfId="0" applyFont="1" applyBorder="1" applyAlignment="1">
      <alignment horizontal="center"/>
    </xf>
    <xf numFmtId="0" fontId="9" fillId="0" borderId="2" xfId="0" applyFont="1" applyBorder="1" applyAlignment="1">
      <alignment wrapText="1"/>
    </xf>
    <xf numFmtId="0" fontId="8" fillId="0" borderId="2" xfId="0" applyFont="1" applyBorder="1"/>
    <xf numFmtId="4" fontId="9" fillId="0" borderId="2" xfId="17" applyNumberFormat="1" applyFont="1" applyBorder="1"/>
    <xf numFmtId="0" fontId="8" fillId="0" borderId="0" xfId="0" applyFont="1" applyAlignment="1">
      <alignment horizontal="center"/>
    </xf>
    <xf numFmtId="4" fontId="0" fillId="0" borderId="0" xfId="17" applyNumberFormat="1" applyFont="1"/>
    <xf numFmtId="164" fontId="0" fillId="0" borderId="0" xfId="17" applyFont="1"/>
    <xf numFmtId="0" fontId="1" fillId="0" borderId="0" xfId="0" applyFont="1" applyFill="1" applyBorder="1" applyAlignment="1">
      <alignment horizontal="left"/>
    </xf>
    <xf numFmtId="0" fontId="30" fillId="0" borderId="0" xfId="0" applyFont="1" applyFill="1" applyAlignment="1">
      <alignment horizontal="left" vertical="top"/>
    </xf>
    <xf numFmtId="9" fontId="7" fillId="0" borderId="0" xfId="0" applyNumberFormat="1" applyFont="1" applyFill="1"/>
    <xf numFmtId="0" fontId="3" fillId="0" borderId="0" xfId="0" applyFont="1" applyAlignment="1">
      <alignment horizontal="center" vertical="center"/>
    </xf>
    <xf numFmtId="0" fontId="4" fillId="2" borderId="21" xfId="0" applyFont="1" applyFill="1" applyBorder="1" applyAlignment="1">
      <alignment horizontal="center" vertical="center" wrapText="1"/>
    </xf>
    <xf numFmtId="0" fontId="37" fillId="0" borderId="0" xfId="0" applyFont="1"/>
    <xf numFmtId="0" fontId="3" fillId="0" borderId="0" xfId="0" applyFont="1" applyAlignment="1">
      <alignment horizontal="center" vertical="center"/>
    </xf>
    <xf numFmtId="0" fontId="4" fillId="2" borderId="21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29" fillId="0" borderId="0" xfId="0" applyFont="1" applyFill="1" applyAlignment="1">
      <alignment horizontal="center" wrapText="1"/>
    </xf>
    <xf numFmtId="0" fontId="30" fillId="0" borderId="0" xfId="0" applyFont="1" applyFill="1" applyAlignment="1">
      <alignment horizontal="left" vertical="top" wrapText="1"/>
    </xf>
    <xf numFmtId="0" fontId="9" fillId="7" borderId="21" xfId="0" applyFont="1" applyFill="1" applyBorder="1" applyAlignment="1">
      <alignment horizontal="left" vertical="center"/>
    </xf>
    <xf numFmtId="0" fontId="9" fillId="7" borderId="3" xfId="0" applyFont="1" applyFill="1" applyBorder="1" applyAlignment="1">
      <alignment horizontal="left" vertical="center"/>
    </xf>
    <xf numFmtId="0" fontId="36" fillId="0" borderId="0" xfId="0" applyFont="1" applyFill="1" applyAlignment="1">
      <alignment horizontal="center" vertical="top"/>
    </xf>
    <xf numFmtId="0" fontId="33" fillId="0" borderId="0" xfId="0" applyFont="1" applyAlignment="1">
      <alignment horizontal="center"/>
    </xf>
    <xf numFmtId="0" fontId="30" fillId="0" borderId="0" xfId="0" quotePrefix="1" applyFont="1" applyFill="1" applyAlignment="1">
      <alignment horizontal="left" vertical="top" wrapText="1"/>
    </xf>
    <xf numFmtId="0" fontId="9" fillId="0" borderId="84" xfId="0" applyFont="1" applyBorder="1" applyAlignment="1">
      <alignment horizontal="center" vertical="center" wrapText="1"/>
    </xf>
    <xf numFmtId="0" fontId="0" fillId="0" borderId="87" xfId="0" applyBorder="1" applyAlignment="1"/>
    <xf numFmtId="0" fontId="9" fillId="0" borderId="85" xfId="0" applyFont="1" applyBorder="1" applyAlignment="1">
      <alignment horizontal="center" vertical="center" wrapText="1"/>
    </xf>
    <xf numFmtId="0" fontId="9" fillId="0" borderId="88" xfId="0" applyFont="1" applyBorder="1" applyAlignment="1">
      <alignment horizontal="center" vertical="center" wrapText="1"/>
    </xf>
    <xf numFmtId="0" fontId="0" fillId="0" borderId="88" xfId="0" applyBorder="1" applyAlignment="1"/>
    <xf numFmtId="0" fontId="9" fillId="0" borderId="86" xfId="0" applyFont="1" applyBorder="1" applyAlignment="1">
      <alignment horizontal="center" vertical="center" wrapText="1"/>
    </xf>
    <xf numFmtId="0" fontId="0" fillId="0" borderId="89" xfId="0" applyBorder="1" applyAlignment="1"/>
    <xf numFmtId="0" fontId="9" fillId="0" borderId="78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/>
    </xf>
    <xf numFmtId="0" fontId="34" fillId="0" borderId="0" xfId="0" applyFont="1" applyFill="1" applyAlignment="1">
      <alignment horizontal="center"/>
    </xf>
    <xf numFmtId="0" fontId="34" fillId="0" borderId="0" xfId="0" applyFont="1" applyAlignment="1">
      <alignment horizontal="center"/>
    </xf>
    <xf numFmtId="0" fontId="0" fillId="0" borderId="0" xfId="0" applyAlignment="1">
      <alignment horizontal="left" vertical="top" wrapText="1"/>
    </xf>
    <xf numFmtId="0" fontId="7" fillId="0" borderId="0" xfId="0" applyFont="1" applyAlignment="1">
      <alignment horizontal="left" vertical="top" wrapText="1"/>
    </xf>
    <xf numFmtId="3" fontId="0" fillId="5" borderId="36" xfId="0" applyNumberFormat="1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0" fillId="5" borderId="37" xfId="0" applyFill="1" applyBorder="1" applyAlignment="1">
      <alignment horizontal="center" vertical="center"/>
    </xf>
    <xf numFmtId="0" fontId="0" fillId="5" borderId="36" xfId="0" applyFill="1" applyBorder="1" applyAlignment="1">
      <alignment horizontal="center" vertical="center"/>
    </xf>
    <xf numFmtId="0" fontId="7" fillId="5" borderId="36" xfId="0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center" vertical="center"/>
    </xf>
    <xf numFmtId="0" fontId="7" fillId="5" borderId="37" xfId="0" applyFont="1" applyFill="1" applyBorder="1" applyAlignment="1">
      <alignment horizontal="center" vertical="center"/>
    </xf>
    <xf numFmtId="0" fontId="7" fillId="5" borderId="33" xfId="0" applyFont="1" applyFill="1" applyBorder="1" applyAlignment="1">
      <alignment horizontal="center" vertical="center"/>
    </xf>
    <xf numFmtId="0" fontId="7" fillId="5" borderId="34" xfId="0" applyFont="1" applyFill="1" applyBorder="1" applyAlignment="1">
      <alignment horizontal="center" vertical="center"/>
    </xf>
    <xf numFmtId="0" fontId="7" fillId="5" borderId="35" xfId="0" applyFont="1" applyFill="1" applyBorder="1" applyAlignment="1">
      <alignment horizontal="center" vertical="center"/>
    </xf>
    <xf numFmtId="0" fontId="20" fillId="5" borderId="68" xfId="0" applyFont="1" applyFill="1" applyBorder="1" applyAlignment="1">
      <alignment horizontal="center" vertical="center"/>
    </xf>
    <xf numFmtId="0" fontId="20" fillId="5" borderId="66" xfId="0" applyFont="1" applyFill="1" applyBorder="1" applyAlignment="1">
      <alignment horizontal="center" vertical="center"/>
    </xf>
    <xf numFmtId="0" fontId="20" fillId="5" borderId="67" xfId="0" applyFont="1" applyFill="1" applyBorder="1" applyAlignment="1">
      <alignment horizontal="center" vertical="center"/>
    </xf>
    <xf numFmtId="0" fontId="0" fillId="5" borderId="49" xfId="0" applyFill="1" applyBorder="1" applyAlignment="1">
      <alignment horizontal="center" vertical="center" textRotation="90" wrapText="1"/>
    </xf>
    <xf numFmtId="0" fontId="0" fillId="5" borderId="50" xfId="0" applyFill="1" applyBorder="1" applyAlignment="1">
      <alignment horizontal="center" vertical="center" textRotation="90" wrapText="1"/>
    </xf>
    <xf numFmtId="0" fontId="0" fillId="5" borderId="58" xfId="0" applyFill="1" applyBorder="1" applyAlignment="1">
      <alignment horizontal="center" vertical="center"/>
    </xf>
    <xf numFmtId="0" fontId="0" fillId="5" borderId="59" xfId="0" applyFill="1" applyBorder="1" applyAlignment="1">
      <alignment horizontal="center" vertical="center"/>
    </xf>
    <xf numFmtId="173" fontId="0" fillId="5" borderId="60" xfId="14" applyNumberFormat="1" applyFont="1" applyFill="1" applyBorder="1" applyAlignment="1">
      <alignment horizontal="center" vertical="center"/>
    </xf>
    <xf numFmtId="173" fontId="0" fillId="5" borderId="57" xfId="14" applyNumberFormat="1" applyFont="1" applyFill="1" applyBorder="1" applyAlignment="1">
      <alignment horizontal="center" vertical="center"/>
    </xf>
    <xf numFmtId="173" fontId="0" fillId="5" borderId="39" xfId="14" applyNumberFormat="1" applyFont="1" applyFill="1" applyBorder="1" applyAlignment="1">
      <alignment horizontal="center" vertical="center"/>
    </xf>
    <xf numFmtId="173" fontId="0" fillId="5" borderId="42" xfId="14" applyNumberFormat="1" applyFont="1" applyFill="1" applyBorder="1" applyAlignment="1">
      <alignment horizontal="center" vertical="center"/>
    </xf>
    <xf numFmtId="0" fontId="0" fillId="5" borderId="33" xfId="0" applyFill="1" applyBorder="1" applyAlignment="1">
      <alignment horizontal="center" vertical="center" wrapText="1"/>
    </xf>
    <xf numFmtId="0" fontId="0" fillId="5" borderId="71" xfId="0" applyFill="1" applyBorder="1" applyAlignment="1">
      <alignment horizontal="center" vertical="center" wrapText="1"/>
    </xf>
    <xf numFmtId="0" fontId="0" fillId="5" borderId="34" xfId="0" applyFill="1" applyBorder="1" applyAlignment="1">
      <alignment horizontal="center" vertical="center" wrapText="1"/>
    </xf>
    <xf numFmtId="0" fontId="0" fillId="5" borderId="52" xfId="0" applyFill="1" applyBorder="1" applyAlignment="1">
      <alignment horizontal="center" vertical="center" wrapText="1"/>
    </xf>
    <xf numFmtId="0" fontId="0" fillId="5" borderId="72" xfId="0" applyFill="1" applyBorder="1" applyAlignment="1">
      <alignment horizontal="center" vertical="center" wrapText="1"/>
    </xf>
    <xf numFmtId="0" fontId="0" fillId="5" borderId="51" xfId="0" applyFill="1" applyBorder="1" applyAlignment="1">
      <alignment horizontal="center" vertical="center" wrapText="1"/>
    </xf>
    <xf numFmtId="173" fontId="0" fillId="5" borderId="1" xfId="14" applyNumberFormat="1" applyFont="1" applyFill="1" applyBorder="1" applyAlignment="1">
      <alignment horizontal="center" vertical="center"/>
    </xf>
    <xf numFmtId="0" fontId="16" fillId="5" borderId="0" xfId="16" applyFont="1" applyFill="1" applyAlignment="1">
      <alignment horizontal="left" vertical="center" wrapText="1"/>
    </xf>
    <xf numFmtId="0" fontId="8" fillId="5" borderId="0" xfId="16" applyFill="1" applyAlignment="1">
      <alignment wrapText="1"/>
    </xf>
    <xf numFmtId="0" fontId="24" fillId="5" borderId="63" xfId="16" applyFont="1" applyFill="1" applyBorder="1" applyAlignment="1">
      <alignment horizontal="center" vertical="center" wrapText="1"/>
    </xf>
    <xf numFmtId="0" fontId="24" fillId="5" borderId="0" xfId="16" applyFont="1" applyFill="1" applyAlignment="1"/>
    <xf numFmtId="0" fontId="24" fillId="5" borderId="62" xfId="16" applyFont="1" applyFill="1" applyBorder="1" applyAlignment="1"/>
    <xf numFmtId="0" fontId="24" fillId="5" borderId="2" xfId="16" applyFont="1" applyFill="1" applyBorder="1" applyAlignment="1">
      <alignment horizontal="center" vertical="center" wrapText="1"/>
    </xf>
    <xf numFmtId="0" fontId="24" fillId="5" borderId="2" xfId="16" applyFont="1" applyFill="1" applyBorder="1" applyAlignment="1">
      <alignment wrapText="1"/>
    </xf>
    <xf numFmtId="0" fontId="8" fillId="5" borderId="2" xfId="16" applyFill="1" applyBorder="1" applyAlignment="1">
      <alignment wrapText="1"/>
    </xf>
    <xf numFmtId="0" fontId="8" fillId="5" borderId="2" xfId="16" applyFill="1" applyBorder="1" applyAlignment="1">
      <alignment vertical="center" wrapText="1"/>
    </xf>
    <xf numFmtId="0" fontId="8" fillId="5" borderId="2" xfId="16" applyFill="1" applyBorder="1" applyAlignment="1"/>
    <xf numFmtId="0" fontId="0" fillId="5" borderId="0" xfId="0" applyFill="1" applyAlignment="1">
      <alignment horizontal="center"/>
    </xf>
    <xf numFmtId="0" fontId="9" fillId="0" borderId="0" xfId="0" quotePrefix="1" applyFont="1" applyFill="1" applyAlignment="1">
      <alignment horizontal="left"/>
    </xf>
  </cellXfs>
  <cellStyles count="19">
    <cellStyle name="Dia" xfId="5"/>
    <cellStyle name="EDU1" xfId="6"/>
    <cellStyle name="Encabez1" xfId="7"/>
    <cellStyle name="Encabez2" xfId="8"/>
    <cellStyle name="Euro" xfId="9"/>
    <cellStyle name="Fijo" xfId="10"/>
    <cellStyle name="Financiero" xfId="11"/>
    <cellStyle name="Millares" xfId="14" builtinId="3"/>
    <cellStyle name="Millares 2" xfId="2"/>
    <cellStyle name="Millares 3" xfId="17"/>
    <cellStyle name="Millares_4X4 y DP combinado PRESENTACION PROVI5" xfId="18"/>
    <cellStyle name="Moneda 2" xfId="4"/>
    <cellStyle name="Monetario" xfId="12"/>
    <cellStyle name="Normal" xfId="0" builtinId="0"/>
    <cellStyle name="Normal 2" xfId="1"/>
    <cellStyle name="Normal 3" xfId="16"/>
    <cellStyle name="Porcentaje" xfId="13"/>
    <cellStyle name="Porcentaje 2" xfId="15"/>
    <cellStyle name="Porcentual 2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312966</xdr:colOff>
      <xdr:row>0</xdr:row>
      <xdr:rowOff>40821</xdr:rowOff>
    </xdr:from>
    <xdr:to>
      <xdr:col>6</xdr:col>
      <xdr:colOff>619926</xdr:colOff>
      <xdr:row>3</xdr:row>
      <xdr:rowOff>13607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2" y="40821"/>
          <a:ext cx="1837363" cy="58510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7666266</xdr:colOff>
      <xdr:row>0</xdr:row>
      <xdr:rowOff>40821</xdr:rowOff>
    </xdr:from>
    <xdr:to>
      <xdr:col>6</xdr:col>
      <xdr:colOff>629451</xdr:colOff>
      <xdr:row>3</xdr:row>
      <xdr:rowOff>51707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6366" y="40821"/>
          <a:ext cx="2411985" cy="6204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7704366</xdr:colOff>
      <xdr:row>0</xdr:row>
      <xdr:rowOff>40821</xdr:rowOff>
    </xdr:from>
    <xdr:to>
      <xdr:col>7</xdr:col>
      <xdr:colOff>29376</xdr:colOff>
      <xdr:row>3</xdr:row>
      <xdr:rowOff>51707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4466" y="40821"/>
          <a:ext cx="2411985" cy="62048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409575</xdr:colOff>
          <xdr:row>0</xdr:row>
          <xdr:rowOff>104775</xdr:rowOff>
        </xdr:from>
        <xdr:to>
          <xdr:col>5</xdr:col>
          <xdr:colOff>561975</xdr:colOff>
          <xdr:row>1</xdr:row>
          <xdr:rowOff>200025</xdr:rowOff>
        </xdr:to>
        <xdr:sp macro="" textlink="">
          <xdr:nvSpPr>
            <xdr:cNvPr id="105473" name="Object 1" hidden="1">
              <a:extLst>
                <a:ext uri="{63B3BB69-23CF-44E3-9099-C40C66FF867C}">
                  <a14:compatExt spid="_x0000_s105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409575</xdr:colOff>
          <xdr:row>0</xdr:row>
          <xdr:rowOff>104775</xdr:rowOff>
        </xdr:from>
        <xdr:to>
          <xdr:col>5</xdr:col>
          <xdr:colOff>561975</xdr:colOff>
          <xdr:row>1</xdr:row>
          <xdr:rowOff>200025</xdr:rowOff>
        </xdr:to>
        <xdr:sp macro="" textlink="">
          <xdr:nvSpPr>
            <xdr:cNvPr id="107521" name="Object 1" hidden="1">
              <a:extLst>
                <a:ext uri="{63B3BB69-23CF-44E3-9099-C40C66FF867C}">
                  <a14:compatExt spid="_x0000_s107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409575</xdr:colOff>
          <xdr:row>0</xdr:row>
          <xdr:rowOff>104775</xdr:rowOff>
        </xdr:from>
        <xdr:to>
          <xdr:col>5</xdr:col>
          <xdr:colOff>561975</xdr:colOff>
          <xdr:row>1</xdr:row>
          <xdr:rowOff>200025</xdr:rowOff>
        </xdr:to>
        <xdr:sp macro="" textlink="">
          <xdr:nvSpPr>
            <xdr:cNvPr id="108545" name="Object 1" hidden="1">
              <a:extLst>
                <a:ext uri="{63B3BB69-23CF-44E3-9099-C40C66FF867C}">
                  <a14:compatExt spid="_x0000_s108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257175</xdr:colOff>
          <xdr:row>0</xdr:row>
          <xdr:rowOff>28575</xdr:rowOff>
        </xdr:from>
        <xdr:to>
          <xdr:col>5</xdr:col>
          <xdr:colOff>533400</xdr:colOff>
          <xdr:row>2</xdr:row>
          <xdr:rowOff>38100</xdr:rowOff>
        </xdr:to>
        <xdr:sp macro="" textlink="">
          <xdr:nvSpPr>
            <xdr:cNvPr id="18433" name="Object 1" hidden="1">
              <a:extLst>
                <a:ext uri="{63B3BB69-23CF-44E3-9099-C40C66FF867C}">
                  <a14:compatExt spid="_x0000_s18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257175</xdr:colOff>
          <xdr:row>0</xdr:row>
          <xdr:rowOff>28575</xdr:rowOff>
        </xdr:from>
        <xdr:to>
          <xdr:col>5</xdr:col>
          <xdr:colOff>533400</xdr:colOff>
          <xdr:row>2</xdr:row>
          <xdr:rowOff>38100</xdr:rowOff>
        </xdr:to>
        <xdr:sp macro="" textlink="">
          <xdr:nvSpPr>
            <xdr:cNvPr id="55297" name="Object 1" hidden="1">
              <a:extLst>
                <a:ext uri="{63B3BB69-23CF-44E3-9099-C40C66FF867C}">
                  <a14:compatExt spid="_x0000_s55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rati\Horati\Documents%20and%20Settings\usuario\Mis%20documentos\Horati\Monte\Rotonda%20OCOVI\Adicionales\Oferta%20Int-%20RN%20N&#186;3%20-%20adicionale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0-ND.WHF/1-WHF/1.3%20Gestion%20de%20Obras%20de%20Arte/5-Obras%20de%20Adecuacion/A-LSM/2-LSM-BV-43.456-Obra/02%20-%20Expediente%20Obra%20Adecuacion/SM-VO-ET-011%20-%20Adec%20BV-P43.756-CONJUNTO-rev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exo I"/>
      <sheetName val="Anexo J1"/>
      <sheetName val="Anexo J2"/>
      <sheetName val="Anexo J3"/>
      <sheetName val="Anexo J3 ( 2)"/>
      <sheetName val="Anexo K"/>
      <sheetName val="Anexo L"/>
      <sheetName val="Alcant-cabeceras res"/>
      <sheetName val="Rotura y rec-pavimento res"/>
      <sheetName val="alcantarilla-cabeceras ap  22-6"/>
      <sheetName val="alcantarillas-cabeceras ap actu"/>
      <sheetName val="alcantarillas-cabeceras ap"/>
      <sheetName val="new jersey ap"/>
      <sheetName val="alc-terrap"/>
      <sheetName val="caño-sum"/>
      <sheetName val="Rot y rec pav"/>
      <sheetName val="Md o nueva"/>
      <sheetName val="Resumen oferta"/>
      <sheetName val="Plan de Trabajo"/>
      <sheetName val="Curva"/>
      <sheetName val="Equipos"/>
      <sheetName val="suelo cal 1 "/>
      <sheetName val="suelo cemento"/>
      <sheetName val="suelo cal"/>
      <sheetName val="ensanche curva"/>
      <sheetName val="balance adicionales"/>
      <sheetName val="caño 36 m"/>
      <sheetName val="BalRot y rec-pavimento "/>
      <sheetName val="alcantarillas-cabeceras ap (2)"/>
    </sheetNames>
    <sheetDataSet>
      <sheetData sheetId="0"/>
      <sheetData sheetId="1"/>
      <sheetData sheetId="2"/>
      <sheetData sheetId="3"/>
      <sheetData sheetId="4"/>
      <sheetData sheetId="5" refreshError="1">
        <row r="41">
          <cell r="F41">
            <v>1.4157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I-unificado"/>
      <sheetName val="MO"/>
      <sheetName val="Anexo VI"/>
      <sheetName val="PC-1"/>
      <sheetName val="Planilla"/>
      <sheetName val="Listado Materiales"/>
      <sheetName val="Equipos"/>
      <sheetName val="MO UOCRA"/>
      <sheetName val="MAT"/>
      <sheetName val="EQ"/>
      <sheetName val="Base"/>
    </sheetNames>
    <sheetDataSet>
      <sheetData sheetId="0" refreshError="1"/>
      <sheetData sheetId="1" refreshError="1"/>
      <sheetData sheetId="2" refreshError="1"/>
      <sheetData sheetId="3" refreshError="1">
        <row r="7">
          <cell r="D7" t="str">
            <v>REPARACION ESTRUCTURAL DE BOVEDA Prog 43,756 – Línea San Martín</v>
          </cell>
        </row>
        <row r="18">
          <cell r="F18" t="str">
            <v>PET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Relationship Id="rId5" Type="http://schemas.openxmlformats.org/officeDocument/2006/relationships/image" Target="../media/image2.png"/><Relationship Id="rId4" Type="http://schemas.openxmlformats.org/officeDocument/2006/relationships/oleObject" Target="../embeddings/oleObject3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5.bin"/><Relationship Id="rId5" Type="http://schemas.openxmlformats.org/officeDocument/2006/relationships/image" Target="../media/image2.png"/><Relationship Id="rId4" Type="http://schemas.openxmlformats.org/officeDocument/2006/relationships/oleObject" Target="../embeddings/oleObject4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6.bin"/><Relationship Id="rId5" Type="http://schemas.openxmlformats.org/officeDocument/2006/relationships/image" Target="../media/image2.png"/><Relationship Id="rId4" Type="http://schemas.openxmlformats.org/officeDocument/2006/relationships/oleObject" Target="../embeddings/oleObject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Relationship Id="rId5" Type="http://schemas.openxmlformats.org/officeDocument/2006/relationships/image" Target="../media/image2.png"/><Relationship Id="rId4" Type="http://schemas.openxmlformats.org/officeDocument/2006/relationships/oleObject" Target="../embeddings/oleObject1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Relationship Id="rId5" Type="http://schemas.openxmlformats.org/officeDocument/2006/relationships/image" Target="../media/image2.png"/><Relationship Id="rId4" Type="http://schemas.openxmlformats.org/officeDocument/2006/relationships/oleObject" Target="../embeddings/oleObject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B1:M29"/>
  <sheetViews>
    <sheetView showGridLines="0" topLeftCell="A15" zoomScaleNormal="100" zoomScaleSheetLayoutView="55" workbookViewId="0">
      <selection sqref="A1:G29"/>
    </sheetView>
  </sheetViews>
  <sheetFormatPr baseColWidth="10" defaultColWidth="15.42578125" defaultRowHeight="15" x14ac:dyDescent="0.25"/>
  <cols>
    <col min="1" max="1" width="2.28515625" customWidth="1"/>
    <col min="2" max="2" width="9.7109375" customWidth="1"/>
    <col min="3" max="3" width="118.140625" customWidth="1"/>
    <col min="4" max="4" width="6.42578125" customWidth="1"/>
    <col min="5" max="5" width="9" customWidth="1"/>
    <col min="6" max="6" width="8.140625" bestFit="1" customWidth="1"/>
    <col min="7" max="7" width="9.5703125" customWidth="1"/>
    <col min="8" max="8" width="2" customWidth="1"/>
  </cols>
  <sheetData>
    <row r="1" spans="2:13" ht="18" customHeight="1" x14ac:dyDescent="0.25"/>
    <row r="4" spans="2:13" ht="18" x14ac:dyDescent="0.25">
      <c r="B4" s="461" t="s">
        <v>530</v>
      </c>
      <c r="C4" s="456" t="s">
        <v>525</v>
      </c>
      <c r="D4" s="3"/>
      <c r="E4" s="3"/>
      <c r="F4" s="2"/>
      <c r="G4" s="2"/>
    </row>
    <row r="5" spans="2:13" ht="18" x14ac:dyDescent="0.25">
      <c r="B5" s="64"/>
      <c r="C5" s="456" t="s">
        <v>524</v>
      </c>
      <c r="D5" s="3"/>
      <c r="E5" s="3"/>
      <c r="F5" s="2"/>
      <c r="G5" s="2"/>
    </row>
    <row r="6" spans="2:13" ht="18" x14ac:dyDescent="0.25">
      <c r="B6" s="1" t="s">
        <v>63</v>
      </c>
      <c r="C6" s="456" t="s">
        <v>517</v>
      </c>
      <c r="D6" s="3"/>
      <c r="E6" s="3"/>
      <c r="F6" s="2"/>
      <c r="G6" s="2"/>
    </row>
    <row r="7" spans="2:13" ht="18" x14ac:dyDescent="0.25">
      <c r="B7" s="2"/>
      <c r="C7" s="64" t="s">
        <v>526</v>
      </c>
      <c r="D7" s="3"/>
      <c r="E7" s="3"/>
      <c r="F7" s="2"/>
      <c r="G7" s="2"/>
    </row>
    <row r="8" spans="2:13" ht="18" x14ac:dyDescent="0.25">
      <c r="B8" s="2"/>
      <c r="C8" s="64"/>
      <c r="D8" s="3"/>
      <c r="E8" s="3"/>
      <c r="F8" s="2"/>
      <c r="G8" s="2"/>
    </row>
    <row r="9" spans="2:13" ht="20.25" x14ac:dyDescent="0.25">
      <c r="B9" s="462" t="s">
        <v>0</v>
      </c>
      <c r="C9" s="462"/>
      <c r="D9" s="462"/>
      <c r="E9" s="462"/>
      <c r="F9" s="462"/>
      <c r="G9" s="462"/>
    </row>
    <row r="10" spans="2:13" ht="20.25" x14ac:dyDescent="0.25">
      <c r="B10" s="83"/>
      <c r="C10" s="83"/>
      <c r="D10" s="83"/>
      <c r="E10" s="83"/>
      <c r="F10" s="83"/>
      <c r="G10" s="83"/>
    </row>
    <row r="11" spans="2:13" s="87" customFormat="1" ht="16.5" customHeight="1" x14ac:dyDescent="0.25">
      <c r="B11" s="85"/>
      <c r="C11" s="85"/>
      <c r="D11" s="86"/>
      <c r="E11" s="86"/>
      <c r="F11" s="85"/>
      <c r="G11" s="85"/>
    </row>
    <row r="12" spans="2:13" ht="25.5" x14ac:dyDescent="0.25">
      <c r="B12" s="4" t="s">
        <v>1</v>
      </c>
      <c r="C12" s="4" t="s">
        <v>88</v>
      </c>
      <c r="D12" s="6" t="s">
        <v>3</v>
      </c>
      <c r="E12" s="84" t="s">
        <v>5</v>
      </c>
      <c r="F12" s="4" t="s">
        <v>4</v>
      </c>
      <c r="G12" s="4" t="s">
        <v>6</v>
      </c>
      <c r="K12" s="252"/>
      <c r="L12" s="252"/>
      <c r="M12" s="252"/>
    </row>
    <row r="13" spans="2:13" x14ac:dyDescent="0.25">
      <c r="B13" s="463"/>
      <c r="C13" s="464"/>
      <c r="D13" s="464"/>
      <c r="E13" s="464"/>
      <c r="F13" s="464"/>
      <c r="G13" s="465"/>
      <c r="K13" s="252"/>
      <c r="L13" s="252"/>
      <c r="M13" s="252"/>
    </row>
    <row r="14" spans="2:13" s="82" customFormat="1" ht="27.4" customHeight="1" x14ac:dyDescent="0.25">
      <c r="B14" s="78">
        <v>1</v>
      </c>
      <c r="C14" s="79" t="s">
        <v>523</v>
      </c>
      <c r="D14" s="57" t="s">
        <v>89</v>
      </c>
      <c r="E14" s="80">
        <v>52</v>
      </c>
      <c r="F14" s="81">
        <v>0</v>
      </c>
      <c r="G14" s="81">
        <f>E14*F14</f>
        <v>0</v>
      </c>
      <c r="K14" s="254"/>
      <c r="L14" s="254"/>
      <c r="M14" s="254"/>
    </row>
    <row r="15" spans="2:13" ht="27.4" customHeight="1" x14ac:dyDescent="0.25">
      <c r="B15" s="78">
        <f>+B14+1</f>
        <v>2</v>
      </c>
      <c r="C15" s="79" t="s">
        <v>529</v>
      </c>
      <c r="D15" s="57" t="s">
        <v>89</v>
      </c>
      <c r="E15" s="80">
        <f>+E14</f>
        <v>52</v>
      </c>
      <c r="F15" s="81">
        <v>0</v>
      </c>
      <c r="G15" s="81">
        <f>E15*F15</f>
        <v>0</v>
      </c>
      <c r="K15" s="252"/>
      <c r="L15" s="252"/>
      <c r="M15" s="252"/>
    </row>
    <row r="16" spans="2:13" s="82" customFormat="1" ht="27.4" customHeight="1" x14ac:dyDescent="0.25">
      <c r="B16" s="249">
        <f>+B15+1</f>
        <v>3</v>
      </c>
      <c r="C16" s="79" t="s">
        <v>522</v>
      </c>
      <c r="D16" s="57" t="s">
        <v>353</v>
      </c>
      <c r="E16" s="250">
        <v>800</v>
      </c>
      <c r="F16" s="81">
        <v>0</v>
      </c>
      <c r="G16" s="81">
        <f t="shared" ref="G16" si="0">E16*F16</f>
        <v>0</v>
      </c>
    </row>
    <row r="17" spans="2:12" s="82" customFormat="1" ht="27.4" customHeight="1" x14ac:dyDescent="0.25">
      <c r="B17" s="249">
        <f>+B16+1</f>
        <v>4</v>
      </c>
      <c r="C17" s="247" t="s">
        <v>347</v>
      </c>
      <c r="D17" s="57" t="s">
        <v>89</v>
      </c>
      <c r="E17" s="250">
        <v>23</v>
      </c>
      <c r="F17" s="81">
        <v>0</v>
      </c>
      <c r="G17" s="81">
        <f t="shared" ref="G17" si="1">E17*F17</f>
        <v>0</v>
      </c>
      <c r="I17" s="253"/>
    </row>
    <row r="18" spans="2:12" s="82" customFormat="1" ht="27.4" customHeight="1" x14ac:dyDescent="0.25">
      <c r="B18" s="249">
        <f t="shared" ref="B18:B20" si="2">+B17+1</f>
        <v>5</v>
      </c>
      <c r="C18" s="248" t="s">
        <v>348</v>
      </c>
      <c r="D18" s="57" t="s">
        <v>89</v>
      </c>
      <c r="E18" s="250">
        <v>4</v>
      </c>
      <c r="F18" s="81">
        <v>0</v>
      </c>
      <c r="G18" s="81">
        <f t="shared" ref="G18:G22" si="3">E18*F18</f>
        <v>0</v>
      </c>
      <c r="I18" s="253"/>
    </row>
    <row r="19" spans="2:12" s="82" customFormat="1" ht="27.4" customHeight="1" x14ac:dyDescent="0.25">
      <c r="B19" s="249">
        <f t="shared" si="2"/>
        <v>6</v>
      </c>
      <c r="C19" s="248" t="s">
        <v>350</v>
      </c>
      <c r="D19" s="57" t="s">
        <v>89</v>
      </c>
      <c r="E19" s="250">
        <v>25</v>
      </c>
      <c r="F19" s="81">
        <v>0</v>
      </c>
      <c r="G19" s="81">
        <f t="shared" si="3"/>
        <v>0</v>
      </c>
      <c r="I19" s="253"/>
    </row>
    <row r="20" spans="2:12" s="82" customFormat="1" ht="27.4" customHeight="1" x14ac:dyDescent="0.25">
      <c r="B20" s="249">
        <f t="shared" si="2"/>
        <v>7</v>
      </c>
      <c r="C20" s="248" t="s">
        <v>351</v>
      </c>
      <c r="D20" s="251" t="s">
        <v>89</v>
      </c>
      <c r="E20" s="250">
        <v>6</v>
      </c>
      <c r="F20" s="255">
        <v>0</v>
      </c>
      <c r="G20" s="255">
        <f t="shared" ref="G20" si="4">E20*F20</f>
        <v>0</v>
      </c>
      <c r="I20" s="253"/>
    </row>
    <row r="21" spans="2:12" s="82" customFormat="1" ht="27.4" customHeight="1" x14ac:dyDescent="0.25">
      <c r="B21" s="249">
        <f>+B20+1</f>
        <v>8</v>
      </c>
      <c r="C21" s="248" t="s">
        <v>352</v>
      </c>
      <c r="D21" s="251" t="s">
        <v>89</v>
      </c>
      <c r="E21" s="250">
        <v>8</v>
      </c>
      <c r="F21" s="255">
        <v>0</v>
      </c>
      <c r="G21" s="255">
        <f t="shared" ref="G21" si="5">E21*F21</f>
        <v>0</v>
      </c>
      <c r="I21" s="253"/>
    </row>
    <row r="22" spans="2:12" s="256" customFormat="1" ht="27.4" customHeight="1" x14ac:dyDescent="0.25">
      <c r="B22" s="249">
        <f>+B21+1</f>
        <v>9</v>
      </c>
      <c r="C22" s="248" t="s">
        <v>349</v>
      </c>
      <c r="D22" s="251" t="s">
        <v>89</v>
      </c>
      <c r="E22" s="250">
        <v>8</v>
      </c>
      <c r="F22" s="255">
        <v>0</v>
      </c>
      <c r="G22" s="255">
        <f t="shared" si="3"/>
        <v>0</v>
      </c>
      <c r="I22" s="458"/>
    </row>
    <row r="23" spans="2:12" x14ac:dyDescent="0.25">
      <c r="B23" s="35"/>
      <c r="C23" s="36" t="s">
        <v>22</v>
      </c>
      <c r="D23" s="37"/>
      <c r="E23" s="38"/>
      <c r="F23" s="38"/>
      <c r="G23" s="39">
        <f>SUM(G14:G22)</f>
        <v>0</v>
      </c>
      <c r="L23" s="39"/>
    </row>
    <row r="24" spans="2:12" x14ac:dyDescent="0.25">
      <c r="B24" s="35"/>
      <c r="C24" s="36" t="s">
        <v>185</v>
      </c>
      <c r="D24" s="37"/>
      <c r="E24" s="38"/>
      <c r="F24" s="38"/>
      <c r="G24" s="39">
        <f>0.21*G23</f>
        <v>0</v>
      </c>
    </row>
    <row r="25" spans="2:12" x14ac:dyDescent="0.25">
      <c r="B25" s="35"/>
      <c r="C25" s="36" t="s">
        <v>24</v>
      </c>
      <c r="D25" s="37"/>
      <c r="E25" s="38"/>
      <c r="F25" s="38"/>
      <c r="G25" s="39">
        <f>+G23+G24</f>
        <v>0</v>
      </c>
    </row>
    <row r="26" spans="2:12" ht="8.25" customHeight="1" x14ac:dyDescent="0.25"/>
    <row r="29" spans="2:12" x14ac:dyDescent="0.25">
      <c r="F29" s="77" t="s">
        <v>80</v>
      </c>
    </row>
  </sheetData>
  <mergeCells count="2">
    <mergeCell ref="B9:G9"/>
    <mergeCell ref="B13:G13"/>
  </mergeCells>
  <printOptions horizontalCentered="1"/>
  <pageMargins left="0.23622047244094491" right="0.23622047244094491" top="0.55118110236220474" bottom="0.35433070866141736" header="0.31496062992125984" footer="0.31496062992125984"/>
  <pageSetup paperSize="9" scale="72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  <pageSetUpPr fitToPage="1"/>
  </sheetPr>
  <dimension ref="A2:K29"/>
  <sheetViews>
    <sheetView showGridLines="0" topLeftCell="A4" zoomScale="115" zoomScaleNormal="115" zoomScaleSheetLayoutView="115" workbookViewId="0">
      <selection activeCell="A8" sqref="A8:F8"/>
    </sheetView>
  </sheetViews>
  <sheetFormatPr baseColWidth="10" defaultRowHeight="15" x14ac:dyDescent="0.25"/>
  <cols>
    <col min="1" max="1" width="11.42578125" customWidth="1"/>
    <col min="2" max="2" width="76.5703125" customWidth="1"/>
    <col min="3" max="3" width="7.7109375" customWidth="1"/>
    <col min="4" max="4" width="8.85546875" customWidth="1"/>
    <col min="5" max="5" width="9.7109375" customWidth="1"/>
    <col min="6" max="6" width="10.42578125" customWidth="1"/>
    <col min="7" max="7" width="1.7109375" customWidth="1"/>
    <col min="11" max="11" width="13" bestFit="1" customWidth="1"/>
  </cols>
  <sheetData>
    <row r="2" spans="1:11" ht="18" customHeight="1" x14ac:dyDescent="0.25"/>
    <row r="4" spans="1:11" ht="18" x14ac:dyDescent="0.25">
      <c r="A4" s="1" t="s">
        <v>25</v>
      </c>
      <c r="B4" s="64" t="s">
        <v>99</v>
      </c>
      <c r="C4" s="3"/>
      <c r="D4" s="3"/>
      <c r="E4" s="2"/>
      <c r="F4" s="2"/>
    </row>
    <row r="5" spans="1:11" ht="18" x14ac:dyDescent="0.25">
      <c r="A5" s="64"/>
      <c r="B5" s="64" t="s">
        <v>97</v>
      </c>
      <c r="C5" s="3"/>
      <c r="D5" s="3"/>
      <c r="E5" s="2"/>
      <c r="F5" s="2"/>
    </row>
    <row r="6" spans="1:11" ht="18" x14ac:dyDescent="0.25">
      <c r="A6" s="1" t="s">
        <v>63</v>
      </c>
      <c r="B6" s="64" t="s">
        <v>98</v>
      </c>
      <c r="C6" s="3"/>
      <c r="D6" s="3"/>
      <c r="E6" s="2"/>
      <c r="F6" s="2"/>
    </row>
    <row r="7" spans="1:11" ht="18" x14ac:dyDescent="0.25">
      <c r="A7" s="2"/>
      <c r="B7" s="64" t="s">
        <v>64</v>
      </c>
      <c r="C7" s="3"/>
      <c r="D7" s="3"/>
      <c r="E7" s="2"/>
      <c r="F7" s="2"/>
    </row>
    <row r="8" spans="1:11" ht="20.25" x14ac:dyDescent="0.25">
      <c r="A8" s="462" t="s">
        <v>0</v>
      </c>
      <c r="B8" s="462"/>
      <c r="C8" s="462"/>
      <c r="D8" s="462"/>
      <c r="E8" s="462"/>
      <c r="F8" s="462"/>
    </row>
    <row r="9" spans="1:11" ht="20.25" x14ac:dyDescent="0.25">
      <c r="A9" s="83"/>
      <c r="B9" s="83"/>
      <c r="C9" s="83"/>
      <c r="D9" s="83"/>
      <c r="E9" s="83"/>
      <c r="F9" s="83"/>
    </row>
    <row r="10" spans="1:11" x14ac:dyDescent="0.25">
      <c r="A10" s="2"/>
      <c r="B10" s="2"/>
      <c r="C10" s="3"/>
      <c r="D10" s="3"/>
      <c r="E10" s="2"/>
      <c r="F10" s="2"/>
    </row>
    <row r="11" spans="1:11" ht="25.5" x14ac:dyDescent="0.25">
      <c r="A11" s="4" t="s">
        <v>1</v>
      </c>
      <c r="B11" s="4" t="s">
        <v>88</v>
      </c>
      <c r="C11" s="6" t="s">
        <v>3</v>
      </c>
      <c r="D11" s="4" t="s">
        <v>5</v>
      </c>
      <c r="E11" s="4" t="s">
        <v>4</v>
      </c>
      <c r="F11" s="4" t="s">
        <v>6</v>
      </c>
    </row>
    <row r="12" spans="1:11" x14ac:dyDescent="0.25">
      <c r="A12" s="463"/>
      <c r="B12" s="464"/>
      <c r="C12" s="464"/>
      <c r="D12" s="464"/>
      <c r="E12" s="464"/>
      <c r="F12" s="465"/>
    </row>
    <row r="13" spans="1:11" s="82" customFormat="1" x14ac:dyDescent="0.25">
      <c r="A13" s="78">
        <v>1</v>
      </c>
      <c r="B13" s="79" t="s">
        <v>90</v>
      </c>
      <c r="C13" s="57" t="s">
        <v>89</v>
      </c>
      <c r="D13" s="80">
        <v>9</v>
      </c>
      <c r="E13" s="81">
        <v>0</v>
      </c>
      <c r="F13" s="81">
        <f t="shared" ref="F13:F15" si="0">+D13*E13</f>
        <v>0</v>
      </c>
    </row>
    <row r="14" spans="1:11" x14ac:dyDescent="0.25">
      <c r="A14" s="78">
        <v>2</v>
      </c>
      <c r="B14" s="79" t="s">
        <v>91</v>
      </c>
      <c r="C14" s="57" t="s">
        <v>89</v>
      </c>
      <c r="D14" s="80">
        <f>+D13</f>
        <v>9</v>
      </c>
      <c r="E14" s="81">
        <v>0</v>
      </c>
      <c r="F14" s="81">
        <f t="shared" si="0"/>
        <v>0</v>
      </c>
    </row>
    <row r="15" spans="1:11" x14ac:dyDescent="0.25">
      <c r="A15" s="78">
        <v>3</v>
      </c>
      <c r="B15" s="79" t="s">
        <v>96</v>
      </c>
      <c r="C15" s="57" t="s">
        <v>89</v>
      </c>
      <c r="D15" s="80">
        <f>+D14</f>
        <v>9</v>
      </c>
      <c r="E15" s="81">
        <v>0</v>
      </c>
      <c r="F15" s="81">
        <f t="shared" si="0"/>
        <v>0</v>
      </c>
      <c r="I15">
        <f>+D13*3/22</f>
        <v>1.2272727272727273</v>
      </c>
    </row>
    <row r="16" spans="1:11" x14ac:dyDescent="0.25">
      <c r="A16" s="35"/>
      <c r="B16" s="36" t="s">
        <v>22</v>
      </c>
      <c r="C16" s="37"/>
      <c r="D16" s="38"/>
      <c r="E16" s="38"/>
      <c r="F16" s="39">
        <f>SUM(F13:F15)</f>
        <v>0</v>
      </c>
      <c r="K16" s="39"/>
    </row>
    <row r="17" spans="1:6" x14ac:dyDescent="0.25">
      <c r="A17" s="35"/>
      <c r="B17" s="36" t="s">
        <v>23</v>
      </c>
      <c r="C17" s="37"/>
      <c r="D17" s="38"/>
      <c r="E17" s="38"/>
      <c r="F17" s="39">
        <f>0.21*F16</f>
        <v>0</v>
      </c>
    </row>
    <row r="18" spans="1:6" x14ac:dyDescent="0.25">
      <c r="A18" s="35"/>
      <c r="B18" s="36" t="s">
        <v>24</v>
      </c>
      <c r="C18" s="37"/>
      <c r="D18" s="38"/>
      <c r="E18" s="38"/>
      <c r="F18" s="39">
        <f>+F16+F17</f>
        <v>0</v>
      </c>
    </row>
    <row r="19" spans="1:6" ht="8.25" customHeight="1" x14ac:dyDescent="0.25"/>
    <row r="20" spans="1:6" x14ac:dyDescent="0.25">
      <c r="B20" t="s">
        <v>81</v>
      </c>
    </row>
    <row r="29" spans="1:6" x14ac:dyDescent="0.25">
      <c r="D29" s="77" t="s">
        <v>80</v>
      </c>
    </row>
  </sheetData>
  <mergeCells count="2">
    <mergeCell ref="A8:F8"/>
    <mergeCell ref="A12:F12"/>
  </mergeCells>
  <printOptions horizontalCentered="1"/>
  <pageMargins left="0.9055118110236221" right="0.51181102362204722" top="0.94488188976377963" bottom="0.74803149606299213" header="0.31496062992125984" footer="0.31496062992125984"/>
  <pageSetup paperSize="9" scale="69" fitToHeight="2" orientation="portrait" r:id="rId1"/>
  <drawing r:id="rId2"/>
  <legacyDrawing r:id="rId3"/>
  <oleObjects>
    <mc:AlternateContent xmlns:mc="http://schemas.openxmlformats.org/markup-compatibility/2006">
      <mc:Choice Requires="x14">
        <oleObject progId="PBrush" shapeId="108545" r:id="rId4">
          <objectPr defaultSize="0" autoPict="0" r:id="rId5">
            <anchor moveWithCells="1" sizeWithCells="1">
              <from>
                <xdr:col>3</xdr:col>
                <xdr:colOff>409575</xdr:colOff>
                <xdr:row>0</xdr:row>
                <xdr:rowOff>104775</xdr:rowOff>
              </from>
              <to>
                <xdr:col>5</xdr:col>
                <xdr:colOff>561975</xdr:colOff>
                <xdr:row>1</xdr:row>
                <xdr:rowOff>200025</xdr:rowOff>
              </to>
            </anchor>
          </objectPr>
        </oleObject>
      </mc:Choice>
      <mc:Fallback>
        <oleObject progId="PBrush" shapeId="108545" r:id="rId4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Z96"/>
  <sheetViews>
    <sheetView zoomScale="55" zoomScaleNormal="55" zoomScaleSheetLayoutView="80" workbookViewId="0">
      <pane xSplit="4" ySplit="8" topLeftCell="E36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baseColWidth="10" defaultColWidth="11.42578125" defaultRowHeight="15" x14ac:dyDescent="0.25"/>
  <cols>
    <col min="1" max="1" width="3.5703125" style="88" customWidth="1"/>
    <col min="2" max="2" width="61" style="159" bestFit="1" customWidth="1"/>
    <col min="3" max="3" width="10.140625" style="128" customWidth="1"/>
    <col min="4" max="4" width="15" style="157" customWidth="1"/>
    <col min="5" max="5" width="12.140625" style="88" customWidth="1"/>
    <col min="6" max="6" width="13.5703125" style="88" bestFit="1" customWidth="1"/>
    <col min="7" max="7" width="17.85546875" style="88" bestFit="1" customWidth="1"/>
    <col min="8" max="8" width="32.140625" style="88" bestFit="1" customWidth="1"/>
    <col min="9" max="9" width="13.140625" style="88" bestFit="1" customWidth="1"/>
    <col min="10" max="10" width="13.5703125" style="88" bestFit="1" customWidth="1"/>
    <col min="11" max="11" width="18" style="88" bestFit="1" customWidth="1"/>
    <col min="12" max="12" width="28.140625" style="88" customWidth="1"/>
    <col min="13" max="13" width="11.28515625" style="88" bestFit="1" customWidth="1"/>
    <col min="14" max="14" width="13.5703125" style="88" bestFit="1" customWidth="1"/>
    <col min="15" max="15" width="17.85546875" style="88" bestFit="1" customWidth="1"/>
    <col min="16" max="16" width="28.140625" style="88" bestFit="1" customWidth="1"/>
    <col min="17" max="17" width="11.28515625" style="88" bestFit="1" customWidth="1"/>
    <col min="18" max="18" width="13.5703125" style="88" bestFit="1" customWidth="1"/>
    <col min="19" max="19" width="20.28515625" style="88" customWidth="1"/>
    <col min="20" max="20" width="28.140625" style="88" bestFit="1" customWidth="1"/>
    <col min="21" max="21" width="9.28515625" style="88" bestFit="1" customWidth="1"/>
    <col min="22" max="22" width="13.5703125" style="88" bestFit="1" customWidth="1"/>
    <col min="23" max="23" width="21.28515625" style="88" customWidth="1"/>
    <col min="24" max="24" width="32.7109375" style="88" bestFit="1" customWidth="1"/>
    <col min="25" max="25" width="11.42578125" style="88"/>
    <col min="26" max="26" width="17.85546875" style="88" bestFit="1" customWidth="1"/>
    <col min="27" max="16384" width="11.42578125" style="88"/>
  </cols>
  <sheetData>
    <row r="1" spans="2:26" ht="15.75" thickBot="1" x14ac:dyDescent="0.3"/>
    <row r="2" spans="2:26" s="163" customFormat="1" ht="31.5" customHeight="1" thickBot="1" x14ac:dyDescent="0.3">
      <c r="B2" s="160" t="s">
        <v>338</v>
      </c>
      <c r="C2" s="161">
        <v>42675</v>
      </c>
      <c r="D2" s="162"/>
      <c r="E2" s="496" t="s">
        <v>195</v>
      </c>
      <c r="F2" s="497"/>
      <c r="G2" s="497"/>
      <c r="H2" s="498"/>
      <c r="I2" s="497" t="s">
        <v>333</v>
      </c>
      <c r="J2" s="497"/>
      <c r="K2" s="497"/>
      <c r="L2" s="497"/>
      <c r="M2" s="497"/>
      <c r="N2" s="497"/>
      <c r="O2" s="497"/>
      <c r="P2" s="497"/>
      <c r="Q2" s="497"/>
      <c r="R2" s="497"/>
      <c r="S2" s="497"/>
      <c r="T2" s="497"/>
      <c r="U2" s="496" t="s">
        <v>203</v>
      </c>
      <c r="V2" s="497"/>
      <c r="W2" s="497"/>
      <c r="X2" s="498"/>
    </row>
    <row r="3" spans="2:26" s="166" customFormat="1" ht="18.75" x14ac:dyDescent="0.25">
      <c r="B3" s="164" t="s">
        <v>106</v>
      </c>
      <c r="C3" s="165" t="s">
        <v>324</v>
      </c>
      <c r="D3" s="162"/>
      <c r="E3" s="493">
        <v>4</v>
      </c>
      <c r="F3" s="494"/>
      <c r="G3" s="494"/>
      <c r="H3" s="495"/>
      <c r="I3" s="493">
        <v>1</v>
      </c>
      <c r="J3" s="494"/>
      <c r="K3" s="494"/>
      <c r="L3" s="495"/>
      <c r="M3" s="493">
        <v>2</v>
      </c>
      <c r="N3" s="494"/>
      <c r="O3" s="494"/>
      <c r="P3" s="495"/>
      <c r="Q3" s="493">
        <v>3</v>
      </c>
      <c r="R3" s="494"/>
      <c r="S3" s="494"/>
      <c r="T3" s="495"/>
      <c r="U3" s="490" t="s">
        <v>337</v>
      </c>
      <c r="V3" s="491"/>
      <c r="W3" s="491"/>
      <c r="X3" s="492"/>
    </row>
    <row r="4" spans="2:26" s="135" customFormat="1" ht="18.75" x14ac:dyDescent="0.25">
      <c r="B4" s="131" t="s">
        <v>191</v>
      </c>
      <c r="C4" s="132" t="s">
        <v>323</v>
      </c>
      <c r="D4" s="162"/>
      <c r="E4" s="489">
        <v>150</v>
      </c>
      <c r="F4" s="487"/>
      <c r="G4" s="487"/>
      <c r="H4" s="488"/>
      <c r="I4" s="489">
        <f>150+180</f>
        <v>330</v>
      </c>
      <c r="J4" s="487"/>
      <c r="K4" s="487"/>
      <c r="L4" s="488"/>
      <c r="M4" s="489">
        <f>90+120</f>
        <v>210</v>
      </c>
      <c r="N4" s="487"/>
      <c r="O4" s="487"/>
      <c r="P4" s="488"/>
      <c r="Q4" s="489">
        <f>150+120</f>
        <v>270</v>
      </c>
      <c r="R4" s="487"/>
      <c r="S4" s="487"/>
      <c r="T4" s="488"/>
      <c r="U4" s="489">
        <v>360</v>
      </c>
      <c r="V4" s="487"/>
      <c r="W4" s="487"/>
      <c r="X4" s="488"/>
    </row>
    <row r="5" spans="2:26" s="135" customFormat="1" ht="18.75" x14ac:dyDescent="0.25">
      <c r="B5" s="131" t="s">
        <v>191</v>
      </c>
      <c r="C5" s="132" t="s">
        <v>113</v>
      </c>
      <c r="D5" s="162"/>
      <c r="E5" s="489">
        <f>+E4/30</f>
        <v>5</v>
      </c>
      <c r="F5" s="487"/>
      <c r="G5" s="487"/>
      <c r="H5" s="488"/>
      <c r="I5" s="489">
        <f>+I4/30</f>
        <v>11</v>
      </c>
      <c r="J5" s="487"/>
      <c r="K5" s="487"/>
      <c r="L5" s="488"/>
      <c r="M5" s="489">
        <f>+M4/30</f>
        <v>7</v>
      </c>
      <c r="N5" s="487"/>
      <c r="O5" s="487"/>
      <c r="P5" s="488"/>
      <c r="Q5" s="489">
        <f>+Q4/30</f>
        <v>9</v>
      </c>
      <c r="R5" s="487"/>
      <c r="S5" s="487"/>
      <c r="T5" s="488"/>
      <c r="U5" s="489">
        <f>+U4/30</f>
        <v>12</v>
      </c>
      <c r="V5" s="487"/>
      <c r="W5" s="487"/>
      <c r="X5" s="488"/>
    </row>
    <row r="6" spans="2:26" s="135" customFormat="1" ht="18.75" x14ac:dyDescent="0.25">
      <c r="B6" s="131" t="s">
        <v>345</v>
      </c>
      <c r="C6" s="132" t="s">
        <v>89</v>
      </c>
      <c r="D6" s="162"/>
      <c r="E6" s="486">
        <f>+'RENGLON 1'!E14</f>
        <v>52</v>
      </c>
      <c r="F6" s="487"/>
      <c r="G6" s="487"/>
      <c r="H6" s="488"/>
      <c r="I6" s="486" t="e">
        <f>+#REF!</f>
        <v>#REF!</v>
      </c>
      <c r="J6" s="487"/>
      <c r="K6" s="487"/>
      <c r="L6" s="488"/>
      <c r="M6" s="486" t="e">
        <f>+#REF!</f>
        <v>#REF!</v>
      </c>
      <c r="N6" s="487"/>
      <c r="O6" s="487"/>
      <c r="P6" s="488"/>
      <c r="Q6" s="486" t="e">
        <f>+#REF!</f>
        <v>#REF!</v>
      </c>
      <c r="R6" s="487"/>
      <c r="S6" s="487"/>
      <c r="T6" s="488"/>
      <c r="U6" s="486" t="e">
        <f>+SUM(E6:T6)</f>
        <v>#REF!</v>
      </c>
      <c r="V6" s="487"/>
      <c r="W6" s="487"/>
      <c r="X6" s="488"/>
    </row>
    <row r="7" spans="2:26" ht="15.75" thickBot="1" x14ac:dyDescent="0.3">
      <c r="E7" s="167"/>
      <c r="F7" s="168"/>
      <c r="G7" s="168"/>
      <c r="H7" s="169"/>
      <c r="I7" s="167"/>
      <c r="J7" s="168"/>
      <c r="K7" s="168"/>
      <c r="L7" s="169"/>
      <c r="M7" s="167"/>
      <c r="N7" s="168"/>
      <c r="O7" s="168"/>
      <c r="P7" s="169"/>
      <c r="Q7" s="167"/>
      <c r="R7" s="168"/>
      <c r="S7" s="168"/>
      <c r="T7" s="169"/>
      <c r="U7" s="167"/>
      <c r="V7" s="168"/>
      <c r="W7" s="168"/>
      <c r="X7" s="169"/>
    </row>
    <row r="8" spans="2:26" s="155" customFormat="1" ht="29.25" customHeight="1" thickBot="1" x14ac:dyDescent="0.3">
      <c r="B8" s="89" t="s">
        <v>100</v>
      </c>
      <c r="C8" s="94" t="s">
        <v>101</v>
      </c>
      <c r="D8" s="170" t="s">
        <v>103</v>
      </c>
      <c r="E8" s="89" t="s">
        <v>102</v>
      </c>
      <c r="F8" s="94" t="s">
        <v>119</v>
      </c>
      <c r="G8" s="94" t="s">
        <v>104</v>
      </c>
      <c r="H8" s="171" t="s">
        <v>105</v>
      </c>
      <c r="I8" s="89" t="s">
        <v>102</v>
      </c>
      <c r="J8" s="94" t="s">
        <v>119</v>
      </c>
      <c r="K8" s="94" t="s">
        <v>104</v>
      </c>
      <c r="L8" s="171" t="s">
        <v>105</v>
      </c>
      <c r="M8" s="89" t="s">
        <v>102</v>
      </c>
      <c r="N8" s="94" t="s">
        <v>119</v>
      </c>
      <c r="O8" s="94" t="s">
        <v>104</v>
      </c>
      <c r="P8" s="171" t="s">
        <v>105</v>
      </c>
      <c r="Q8" s="89" t="s">
        <v>102</v>
      </c>
      <c r="R8" s="94" t="s">
        <v>119</v>
      </c>
      <c r="S8" s="94" t="s">
        <v>104</v>
      </c>
      <c r="T8" s="171" t="s">
        <v>105</v>
      </c>
      <c r="U8" s="89" t="s">
        <v>102</v>
      </c>
      <c r="V8" s="94" t="s">
        <v>119</v>
      </c>
      <c r="W8" s="94" t="s">
        <v>104</v>
      </c>
      <c r="X8" s="171" t="s">
        <v>105</v>
      </c>
    </row>
    <row r="9" spans="2:26" x14ac:dyDescent="0.25">
      <c r="B9" s="172" t="s">
        <v>121</v>
      </c>
      <c r="E9" s="173"/>
      <c r="F9" s="174"/>
      <c r="G9" s="174"/>
      <c r="H9" s="175"/>
      <c r="I9" s="173"/>
      <c r="J9" s="174"/>
      <c r="K9" s="174"/>
      <c r="L9" s="175"/>
      <c r="M9" s="173"/>
      <c r="N9" s="174"/>
      <c r="O9" s="174"/>
      <c r="P9" s="175"/>
      <c r="Q9" s="173"/>
      <c r="R9" s="174"/>
      <c r="S9" s="174"/>
      <c r="T9" s="175"/>
      <c r="U9" s="173"/>
      <c r="V9" s="174"/>
      <c r="W9" s="174"/>
      <c r="X9" s="175"/>
    </row>
    <row r="10" spans="2:26" x14ac:dyDescent="0.25">
      <c r="B10" s="176" t="s">
        <v>112</v>
      </c>
      <c r="C10" s="177" t="s">
        <v>113</v>
      </c>
      <c r="E10" s="178">
        <f>+E5-1</f>
        <v>4</v>
      </c>
      <c r="F10" s="179"/>
      <c r="G10" s="179"/>
      <c r="H10" s="180"/>
      <c r="I10" s="178">
        <f>+I5-3</f>
        <v>8</v>
      </c>
      <c r="J10" s="179"/>
      <c r="K10" s="179"/>
      <c r="L10" s="180"/>
      <c r="M10" s="178">
        <f>+M5-2</f>
        <v>5</v>
      </c>
      <c r="N10" s="179"/>
      <c r="O10" s="179"/>
      <c r="P10" s="180"/>
      <c r="Q10" s="178">
        <f>+Q5-2</f>
        <v>7</v>
      </c>
      <c r="R10" s="179"/>
      <c r="S10" s="179"/>
      <c r="T10" s="180"/>
      <c r="U10" s="178">
        <f>+U5-1</f>
        <v>11</v>
      </c>
      <c r="V10" s="179"/>
      <c r="W10" s="179"/>
      <c r="X10" s="180"/>
    </row>
    <row r="11" spans="2:26" x14ac:dyDescent="0.25">
      <c r="B11" s="181" t="s">
        <v>108</v>
      </c>
      <c r="C11" s="109" t="s">
        <v>120</v>
      </c>
      <c r="D11" s="182">
        <v>112.99</v>
      </c>
      <c r="E11" s="183">
        <f>+E10*200*2</f>
        <v>1600</v>
      </c>
      <c r="F11" s="184">
        <v>1</v>
      </c>
      <c r="G11" s="126">
        <f>+F11*E11*$D11</f>
        <v>180784</v>
      </c>
      <c r="H11" s="185" t="s">
        <v>322</v>
      </c>
      <c r="I11" s="183">
        <f>+I10*200*2</f>
        <v>3200</v>
      </c>
      <c r="J11" s="184">
        <v>1</v>
      </c>
      <c r="K11" s="126">
        <f>+J11*I11*$D11</f>
        <v>361568</v>
      </c>
      <c r="L11" s="185" t="s">
        <v>322</v>
      </c>
      <c r="M11" s="183">
        <f>+M10*200*2</f>
        <v>2000</v>
      </c>
      <c r="N11" s="184">
        <v>1</v>
      </c>
      <c r="O11" s="126">
        <f>+N11*M11*$D11</f>
        <v>225980</v>
      </c>
      <c r="P11" s="185" t="s">
        <v>322</v>
      </c>
      <c r="Q11" s="183">
        <f>+Q10*200*2</f>
        <v>2800</v>
      </c>
      <c r="R11" s="184">
        <v>1</v>
      </c>
      <c r="S11" s="126">
        <f>+R11*Q11*$D11</f>
        <v>316372</v>
      </c>
      <c r="T11" s="185" t="s">
        <v>322</v>
      </c>
      <c r="U11" s="183">
        <f>+U10*200*4</f>
        <v>8800</v>
      </c>
      <c r="V11" s="184">
        <v>1</v>
      </c>
      <c r="W11" s="126">
        <f>+V11*U11*$D11</f>
        <v>994312</v>
      </c>
      <c r="X11" s="185" t="s">
        <v>339</v>
      </c>
    </row>
    <row r="12" spans="2:26" x14ac:dyDescent="0.25">
      <c r="B12" s="181" t="s">
        <v>109</v>
      </c>
      <c r="C12" s="109" t="s">
        <v>120</v>
      </c>
      <c r="D12" s="182">
        <v>123.1</v>
      </c>
      <c r="E12" s="183"/>
      <c r="F12" s="122"/>
      <c r="G12" s="122"/>
      <c r="H12" s="185"/>
      <c r="I12" s="183"/>
      <c r="J12" s="122"/>
      <c r="K12" s="122"/>
      <c r="L12" s="185"/>
      <c r="M12" s="183"/>
      <c r="N12" s="122"/>
      <c r="O12" s="122"/>
      <c r="P12" s="185"/>
      <c r="Q12" s="183"/>
      <c r="R12" s="122"/>
      <c r="S12" s="122"/>
      <c r="T12" s="185"/>
      <c r="U12" s="183"/>
      <c r="V12" s="122"/>
      <c r="W12" s="122"/>
      <c r="X12" s="185"/>
    </row>
    <row r="13" spans="2:26" x14ac:dyDescent="0.25">
      <c r="B13" s="181" t="s">
        <v>110</v>
      </c>
      <c r="C13" s="109" t="s">
        <v>120</v>
      </c>
      <c r="D13" s="182">
        <v>133.51</v>
      </c>
      <c r="E13" s="183">
        <f>+E10*200</f>
        <v>800</v>
      </c>
      <c r="F13" s="184">
        <v>1</v>
      </c>
      <c r="G13" s="126">
        <f>+F13*E13*$D13</f>
        <v>106808</v>
      </c>
      <c r="H13" s="185" t="s">
        <v>115</v>
      </c>
      <c r="I13" s="183">
        <f>+I10*200</f>
        <v>1600</v>
      </c>
      <c r="J13" s="184">
        <v>1</v>
      </c>
      <c r="K13" s="126">
        <f>+J13*I13*$D13</f>
        <v>213616</v>
      </c>
      <c r="L13" s="185" t="s">
        <v>115</v>
      </c>
      <c r="M13" s="183">
        <f>+M10*200</f>
        <v>1000</v>
      </c>
      <c r="N13" s="184">
        <v>1</v>
      </c>
      <c r="O13" s="126">
        <f>+N13*M13*$D13</f>
        <v>133510</v>
      </c>
      <c r="P13" s="185" t="s">
        <v>115</v>
      </c>
      <c r="Q13" s="183">
        <f>+Q10*200</f>
        <v>1400</v>
      </c>
      <c r="R13" s="184">
        <v>1</v>
      </c>
      <c r="S13" s="126">
        <f>+R13*Q13*$D13</f>
        <v>186914</v>
      </c>
      <c r="T13" s="185" t="s">
        <v>115</v>
      </c>
      <c r="U13" s="183">
        <f>+U10*200*2</f>
        <v>4400</v>
      </c>
      <c r="V13" s="184">
        <v>1</v>
      </c>
      <c r="W13" s="126">
        <f>+V13*U13*$D13</f>
        <v>587444</v>
      </c>
      <c r="X13" s="185" t="s">
        <v>340</v>
      </c>
    </row>
    <row r="14" spans="2:26" x14ac:dyDescent="0.25">
      <c r="B14" s="181" t="s">
        <v>111</v>
      </c>
      <c r="C14" s="109" t="s">
        <v>120</v>
      </c>
      <c r="D14" s="182">
        <v>156.69999999999999</v>
      </c>
      <c r="E14" s="183">
        <v>0</v>
      </c>
      <c r="F14" s="184">
        <v>1</v>
      </c>
      <c r="G14" s="126">
        <f>+F14*E14*$D14</f>
        <v>0</v>
      </c>
      <c r="H14" s="185" t="s">
        <v>320</v>
      </c>
      <c r="I14" s="183">
        <v>0</v>
      </c>
      <c r="J14" s="184">
        <v>1</v>
      </c>
      <c r="K14" s="126">
        <f>+J14*I14*$D14</f>
        <v>0</v>
      </c>
      <c r="L14" s="185" t="s">
        <v>320</v>
      </c>
      <c r="M14" s="183">
        <v>0</v>
      </c>
      <c r="N14" s="184">
        <v>1</v>
      </c>
      <c r="O14" s="126">
        <f>+N14*M14*$D14</f>
        <v>0</v>
      </c>
      <c r="P14" s="185" t="s">
        <v>320</v>
      </c>
      <c r="Q14" s="183">
        <v>0</v>
      </c>
      <c r="R14" s="184">
        <v>1</v>
      </c>
      <c r="S14" s="126">
        <f>+R14*Q14*$D14</f>
        <v>0</v>
      </c>
      <c r="T14" s="185" t="s">
        <v>320</v>
      </c>
      <c r="U14" s="183">
        <v>0</v>
      </c>
      <c r="V14" s="184">
        <v>1</v>
      </c>
      <c r="W14" s="126">
        <f>+V14*U14*$D14</f>
        <v>0</v>
      </c>
      <c r="X14" s="185" t="s">
        <v>320</v>
      </c>
    </row>
    <row r="15" spans="2:26" s="152" customFormat="1" x14ac:dyDescent="0.25">
      <c r="B15" s="186" t="s">
        <v>122</v>
      </c>
      <c r="C15" s="187"/>
      <c r="D15" s="158"/>
      <c r="E15" s="188"/>
      <c r="F15" s="189"/>
      <c r="G15" s="190">
        <f>SUM(G11:G14)</f>
        <v>287592</v>
      </c>
      <c r="H15" s="191"/>
      <c r="I15" s="188"/>
      <c r="J15" s="192"/>
      <c r="K15" s="190">
        <f>SUM(K11:K14)</f>
        <v>575184</v>
      </c>
      <c r="L15" s="191"/>
      <c r="M15" s="188"/>
      <c r="N15" s="189"/>
      <c r="O15" s="190">
        <f>SUM(O11:O14)</f>
        <v>359490</v>
      </c>
      <c r="P15" s="191"/>
      <c r="Q15" s="188"/>
      <c r="R15" s="189"/>
      <c r="S15" s="190">
        <f>SUM(S11:S14)</f>
        <v>503286</v>
      </c>
      <c r="T15" s="191"/>
      <c r="U15" s="188"/>
      <c r="V15" s="189"/>
      <c r="W15" s="190">
        <f>SUM(W11:W14)</f>
        <v>1581756</v>
      </c>
      <c r="X15" s="191"/>
      <c r="Z15" s="193">
        <f>+W15-S15-O15-K15-G15</f>
        <v>-143796</v>
      </c>
    </row>
    <row r="16" spans="2:26" x14ac:dyDescent="0.25">
      <c r="E16" s="173"/>
      <c r="F16" s="174"/>
      <c r="G16" s="174"/>
      <c r="H16" s="175"/>
      <c r="I16" s="173"/>
      <c r="J16" s="174"/>
      <c r="K16" s="174"/>
      <c r="L16" s="175"/>
      <c r="M16" s="173"/>
      <c r="N16" s="174"/>
      <c r="O16" s="174"/>
      <c r="P16" s="175"/>
      <c r="Q16" s="173"/>
      <c r="R16" s="174"/>
      <c r="S16" s="174"/>
      <c r="T16" s="175"/>
      <c r="U16" s="173"/>
      <c r="V16" s="174"/>
      <c r="W16" s="174"/>
      <c r="X16" s="175"/>
    </row>
    <row r="17" spans="2:26" x14ac:dyDescent="0.25">
      <c r="B17" s="172" t="s">
        <v>123</v>
      </c>
      <c r="E17" s="173"/>
      <c r="F17" s="174"/>
      <c r="G17" s="174"/>
      <c r="H17" s="175"/>
      <c r="I17" s="173"/>
      <c r="J17" s="174"/>
      <c r="K17" s="174"/>
      <c r="L17" s="175"/>
      <c r="M17" s="173"/>
      <c r="N17" s="174"/>
      <c r="O17" s="174"/>
      <c r="P17" s="175"/>
      <c r="Q17" s="173"/>
      <c r="R17" s="174"/>
      <c r="S17" s="174"/>
      <c r="T17" s="175"/>
      <c r="U17" s="173"/>
      <c r="V17" s="174"/>
      <c r="W17" s="174"/>
      <c r="X17" s="175"/>
    </row>
    <row r="18" spans="2:26" s="195" customFormat="1" x14ac:dyDescent="0.25">
      <c r="B18" s="176" t="s">
        <v>124</v>
      </c>
      <c r="C18" s="177" t="s">
        <v>113</v>
      </c>
      <c r="D18" s="194"/>
      <c r="E18" s="178">
        <f>+E5-2</f>
        <v>3</v>
      </c>
      <c r="F18" s="179"/>
      <c r="G18" s="179"/>
      <c r="H18" s="180"/>
      <c r="I18" s="178">
        <f>+I10-1</f>
        <v>7</v>
      </c>
      <c r="J18" s="179"/>
      <c r="K18" s="179"/>
      <c r="L18" s="180"/>
      <c r="M18" s="178">
        <f>+M10-1</f>
        <v>4</v>
      </c>
      <c r="N18" s="179"/>
      <c r="O18" s="179"/>
      <c r="P18" s="180"/>
      <c r="Q18" s="178">
        <f>+Q10-1</f>
        <v>6</v>
      </c>
      <c r="R18" s="179"/>
      <c r="S18" s="179"/>
      <c r="T18" s="180"/>
      <c r="U18" s="178">
        <f>+U5-1</f>
        <v>11</v>
      </c>
      <c r="V18" s="179"/>
      <c r="W18" s="179"/>
      <c r="X18" s="180"/>
    </row>
    <row r="19" spans="2:26" x14ac:dyDescent="0.25">
      <c r="B19" s="181" t="s">
        <v>125</v>
      </c>
      <c r="C19" s="109" t="s">
        <v>113</v>
      </c>
      <c r="D19" s="196">
        <v>80000</v>
      </c>
      <c r="E19" s="197">
        <f>+E18</f>
        <v>3</v>
      </c>
      <c r="F19" s="184">
        <v>0.35</v>
      </c>
      <c r="G19" s="126">
        <f t="shared" ref="G19:G24" si="0">+F19*E19*$D19</f>
        <v>83999.999999999985</v>
      </c>
      <c r="H19" s="185" t="s">
        <v>287</v>
      </c>
      <c r="I19" s="197">
        <f>+I18</f>
        <v>7</v>
      </c>
      <c r="J19" s="184">
        <v>0.25</v>
      </c>
      <c r="K19" s="126">
        <f t="shared" ref="K19:K24" si="1">+J19*I19*$D19</f>
        <v>140000</v>
      </c>
      <c r="L19" s="185" t="s">
        <v>287</v>
      </c>
      <c r="M19" s="197">
        <f>+M18</f>
        <v>4</v>
      </c>
      <c r="N19" s="184">
        <v>0.25</v>
      </c>
      <c r="O19" s="126">
        <f t="shared" ref="O19:O24" si="2">+N19*M19*$D19</f>
        <v>80000</v>
      </c>
      <c r="P19" s="185" t="s">
        <v>287</v>
      </c>
      <c r="Q19" s="197">
        <f>+Q18</f>
        <v>6</v>
      </c>
      <c r="R19" s="184">
        <v>0.25</v>
      </c>
      <c r="S19" s="126">
        <f t="shared" ref="S19:S24" si="3">+R19*Q19*$D19</f>
        <v>120000</v>
      </c>
      <c r="T19" s="185" t="s">
        <v>287</v>
      </c>
      <c r="U19" s="197">
        <f>+U18</f>
        <v>11</v>
      </c>
      <c r="V19" s="184">
        <v>0.5</v>
      </c>
      <c r="W19" s="126">
        <f t="shared" ref="W19:W24" si="4">+V19*U19*$D19</f>
        <v>440000</v>
      </c>
      <c r="X19" s="185" t="s">
        <v>287</v>
      </c>
    </row>
    <row r="20" spans="2:26" x14ac:dyDescent="0.25">
      <c r="B20" s="181" t="s">
        <v>126</v>
      </c>
      <c r="C20" s="109" t="s">
        <v>113</v>
      </c>
      <c r="D20" s="196">
        <f>248*200*1.3*1.15</f>
        <v>74152</v>
      </c>
      <c r="E20" s="197">
        <f>+E18</f>
        <v>3</v>
      </c>
      <c r="F20" s="184">
        <v>1</v>
      </c>
      <c r="G20" s="126">
        <f t="shared" si="0"/>
        <v>222456</v>
      </c>
      <c r="H20" s="185" t="s">
        <v>290</v>
      </c>
      <c r="I20" s="197">
        <f>+I18</f>
        <v>7</v>
      </c>
      <c r="J20" s="184">
        <v>1</v>
      </c>
      <c r="K20" s="126">
        <f t="shared" si="1"/>
        <v>519064</v>
      </c>
      <c r="L20" s="185" t="s">
        <v>290</v>
      </c>
      <c r="M20" s="197">
        <f>+M18</f>
        <v>4</v>
      </c>
      <c r="N20" s="184">
        <v>1</v>
      </c>
      <c r="O20" s="126">
        <f t="shared" si="2"/>
        <v>296608</v>
      </c>
      <c r="P20" s="185" t="s">
        <v>290</v>
      </c>
      <c r="Q20" s="197">
        <f>+Q18</f>
        <v>6</v>
      </c>
      <c r="R20" s="184">
        <v>1</v>
      </c>
      <c r="S20" s="126">
        <f t="shared" si="3"/>
        <v>444912</v>
      </c>
      <c r="T20" s="185" t="s">
        <v>290</v>
      </c>
      <c r="U20" s="197">
        <f>+U18</f>
        <v>11</v>
      </c>
      <c r="V20" s="184">
        <f t="shared" ref="V20:V31" si="5">+F20</f>
        <v>1</v>
      </c>
      <c r="W20" s="126">
        <f t="shared" si="4"/>
        <v>815672</v>
      </c>
      <c r="X20" s="185" t="s">
        <v>290</v>
      </c>
    </row>
    <row r="21" spans="2:26" x14ac:dyDescent="0.25">
      <c r="B21" s="181" t="s">
        <v>291</v>
      </c>
      <c r="C21" s="109" t="s">
        <v>113</v>
      </c>
      <c r="D21" s="196">
        <f>157*200*1.3*1.15</f>
        <v>46943</v>
      </c>
      <c r="E21" s="197">
        <f>+E18</f>
        <v>3</v>
      </c>
      <c r="F21" s="184">
        <v>2</v>
      </c>
      <c r="G21" s="126">
        <f t="shared" si="0"/>
        <v>281658</v>
      </c>
      <c r="H21" s="185" t="s">
        <v>292</v>
      </c>
      <c r="I21" s="197">
        <f>+I18</f>
        <v>7</v>
      </c>
      <c r="J21" s="184">
        <v>2</v>
      </c>
      <c r="K21" s="126">
        <f t="shared" si="1"/>
        <v>657202</v>
      </c>
      <c r="L21" s="185" t="s">
        <v>127</v>
      </c>
      <c r="M21" s="197">
        <f>+M18</f>
        <v>4</v>
      </c>
      <c r="N21" s="184">
        <v>2</v>
      </c>
      <c r="O21" s="126">
        <f t="shared" si="2"/>
        <v>375544</v>
      </c>
      <c r="P21" s="185" t="s">
        <v>127</v>
      </c>
      <c r="Q21" s="197">
        <f>+Q18</f>
        <v>6</v>
      </c>
      <c r="R21" s="184">
        <v>2</v>
      </c>
      <c r="S21" s="126">
        <f t="shared" si="3"/>
        <v>563316</v>
      </c>
      <c r="T21" s="185" t="s">
        <v>127</v>
      </c>
      <c r="U21" s="197">
        <f>+U18</f>
        <v>11</v>
      </c>
      <c r="V21" s="184">
        <f t="shared" si="5"/>
        <v>2</v>
      </c>
      <c r="W21" s="126">
        <f t="shared" si="4"/>
        <v>1032746</v>
      </c>
      <c r="X21" s="185" t="s">
        <v>127</v>
      </c>
    </row>
    <row r="22" spans="2:26" x14ac:dyDescent="0.25">
      <c r="B22" s="181" t="s">
        <v>128</v>
      </c>
      <c r="C22" s="109" t="s">
        <v>113</v>
      </c>
      <c r="D22" s="196">
        <v>45000</v>
      </c>
      <c r="E22" s="197">
        <f>+E18</f>
        <v>3</v>
      </c>
      <c r="F22" s="184">
        <v>1</v>
      </c>
      <c r="G22" s="126">
        <f t="shared" si="0"/>
        <v>135000</v>
      </c>
      <c r="H22" s="185" t="s">
        <v>115</v>
      </c>
      <c r="I22" s="197">
        <f>+I18</f>
        <v>7</v>
      </c>
      <c r="J22" s="184">
        <v>1</v>
      </c>
      <c r="K22" s="126">
        <f t="shared" si="1"/>
        <v>315000</v>
      </c>
      <c r="L22" s="185" t="s">
        <v>115</v>
      </c>
      <c r="M22" s="197">
        <f>+M18</f>
        <v>4</v>
      </c>
      <c r="N22" s="184">
        <v>1</v>
      </c>
      <c r="O22" s="126">
        <f t="shared" si="2"/>
        <v>180000</v>
      </c>
      <c r="P22" s="185" t="s">
        <v>115</v>
      </c>
      <c r="Q22" s="197">
        <f>+Q18</f>
        <v>6</v>
      </c>
      <c r="R22" s="184">
        <v>1</v>
      </c>
      <c r="S22" s="126">
        <f t="shared" si="3"/>
        <v>270000</v>
      </c>
      <c r="T22" s="185" t="s">
        <v>115</v>
      </c>
      <c r="U22" s="197">
        <f>+U18</f>
        <v>11</v>
      </c>
      <c r="V22" s="184">
        <f t="shared" si="5"/>
        <v>1</v>
      </c>
      <c r="W22" s="126">
        <f t="shared" si="4"/>
        <v>495000</v>
      </c>
      <c r="X22" s="185" t="s">
        <v>115</v>
      </c>
    </row>
    <row r="23" spans="2:26" x14ac:dyDescent="0.25">
      <c r="B23" s="181" t="s">
        <v>142</v>
      </c>
      <c r="C23" s="109" t="s">
        <v>113</v>
      </c>
      <c r="D23" s="196">
        <v>65000</v>
      </c>
      <c r="E23" s="197">
        <f>+E18-1</f>
        <v>2</v>
      </c>
      <c r="F23" s="184">
        <v>1</v>
      </c>
      <c r="G23" s="126">
        <f t="shared" si="0"/>
        <v>130000</v>
      </c>
      <c r="H23" s="185" t="s">
        <v>197</v>
      </c>
      <c r="I23" s="197">
        <f>ROUNDUP(I5/3,0)</f>
        <v>4</v>
      </c>
      <c r="J23" s="184">
        <v>1</v>
      </c>
      <c r="K23" s="126">
        <f t="shared" si="1"/>
        <v>260000</v>
      </c>
      <c r="L23" s="185" t="s">
        <v>335</v>
      </c>
      <c r="M23" s="197">
        <f>ROUNDUP(M5/3,0)</f>
        <v>3</v>
      </c>
      <c r="N23" s="184">
        <v>1</v>
      </c>
      <c r="O23" s="126">
        <f t="shared" si="2"/>
        <v>195000</v>
      </c>
      <c r="P23" s="185" t="s">
        <v>335</v>
      </c>
      <c r="Q23" s="197">
        <f>ROUNDUP(Q5/3,0)</f>
        <v>3</v>
      </c>
      <c r="R23" s="184">
        <v>1</v>
      </c>
      <c r="S23" s="126">
        <f t="shared" si="3"/>
        <v>195000</v>
      </c>
      <c r="T23" s="185" t="s">
        <v>335</v>
      </c>
      <c r="U23" s="197">
        <f>ROUNDUP(U5/3,0)</f>
        <v>4</v>
      </c>
      <c r="V23" s="184">
        <f t="shared" si="5"/>
        <v>1</v>
      </c>
      <c r="W23" s="126">
        <f t="shared" si="4"/>
        <v>260000</v>
      </c>
      <c r="X23" s="185" t="s">
        <v>335</v>
      </c>
    </row>
    <row r="24" spans="2:26" x14ac:dyDescent="0.25">
      <c r="B24" s="181" t="s">
        <v>129</v>
      </c>
      <c r="C24" s="109" t="s">
        <v>130</v>
      </c>
      <c r="D24" s="196"/>
      <c r="E24" s="197">
        <f>+$E$5</f>
        <v>5</v>
      </c>
      <c r="F24" s="122"/>
      <c r="G24" s="126">
        <f t="shared" si="0"/>
        <v>0</v>
      </c>
      <c r="H24" s="185" t="s">
        <v>131</v>
      </c>
      <c r="I24" s="197">
        <f>+$E$5</f>
        <v>5</v>
      </c>
      <c r="J24" s="122"/>
      <c r="K24" s="126">
        <f t="shared" si="1"/>
        <v>0</v>
      </c>
      <c r="L24" s="185" t="s">
        <v>131</v>
      </c>
      <c r="M24" s="197">
        <f>+$E$5</f>
        <v>5</v>
      </c>
      <c r="N24" s="122"/>
      <c r="O24" s="126">
        <f t="shared" si="2"/>
        <v>0</v>
      </c>
      <c r="P24" s="185" t="s">
        <v>131</v>
      </c>
      <c r="Q24" s="197">
        <f>+$E$5</f>
        <v>5</v>
      </c>
      <c r="R24" s="122"/>
      <c r="S24" s="126">
        <f t="shared" si="3"/>
        <v>0</v>
      </c>
      <c r="T24" s="185" t="s">
        <v>131</v>
      </c>
      <c r="U24" s="197">
        <f>+$E$5</f>
        <v>5</v>
      </c>
      <c r="V24" s="184">
        <f t="shared" si="5"/>
        <v>0</v>
      </c>
      <c r="W24" s="126">
        <f t="shared" si="4"/>
        <v>0</v>
      </c>
      <c r="X24" s="185" t="s">
        <v>131</v>
      </c>
    </row>
    <row r="25" spans="2:26" s="195" customFormat="1" x14ac:dyDescent="0.25">
      <c r="B25" s="176" t="s">
        <v>133</v>
      </c>
      <c r="C25" s="177" t="s">
        <v>113</v>
      </c>
      <c r="D25" s="194"/>
      <c r="E25" s="178">
        <f>+E5-2</f>
        <v>3</v>
      </c>
      <c r="F25" s="179"/>
      <c r="G25" s="179"/>
      <c r="H25" s="180"/>
      <c r="I25" s="178">
        <f>+I10-2</f>
        <v>6</v>
      </c>
      <c r="J25" s="179"/>
      <c r="K25" s="179"/>
      <c r="L25" s="180"/>
      <c r="M25" s="178">
        <f>+M10-2</f>
        <v>3</v>
      </c>
      <c r="N25" s="179"/>
      <c r="O25" s="179"/>
      <c r="P25" s="180"/>
      <c r="Q25" s="178">
        <f>+Q10-2</f>
        <v>5</v>
      </c>
      <c r="R25" s="179"/>
      <c r="S25" s="179"/>
      <c r="T25" s="180"/>
      <c r="U25" s="178">
        <f>+U5-2</f>
        <v>10</v>
      </c>
      <c r="V25" s="184">
        <f t="shared" si="5"/>
        <v>0</v>
      </c>
      <c r="W25" s="179"/>
      <c r="X25" s="180"/>
    </row>
    <row r="26" spans="2:26" x14ac:dyDescent="0.25">
      <c r="B26" s="181" t="s">
        <v>134</v>
      </c>
      <c r="C26" s="109" t="s">
        <v>113</v>
      </c>
      <c r="D26" s="196">
        <f>+D20</f>
        <v>74152</v>
      </c>
      <c r="E26" s="197">
        <f>+E25</f>
        <v>3</v>
      </c>
      <c r="F26" s="184">
        <v>0.5</v>
      </c>
      <c r="G26" s="126">
        <f>+F26*E26*$D26</f>
        <v>111228</v>
      </c>
      <c r="H26" s="185" t="s">
        <v>288</v>
      </c>
      <c r="I26" s="197">
        <f>+I25</f>
        <v>6</v>
      </c>
      <c r="J26" s="184">
        <v>0.3</v>
      </c>
      <c r="K26" s="126">
        <f>+J26*I26*$D26</f>
        <v>133473.59999999998</v>
      </c>
      <c r="L26" s="185" t="s">
        <v>288</v>
      </c>
      <c r="M26" s="197">
        <f>+M25</f>
        <v>3</v>
      </c>
      <c r="N26" s="184">
        <v>0.3</v>
      </c>
      <c r="O26" s="126">
        <f>+N26*M26*$D26</f>
        <v>66736.799999999988</v>
      </c>
      <c r="P26" s="185" t="s">
        <v>288</v>
      </c>
      <c r="Q26" s="197">
        <f>+Q25</f>
        <v>5</v>
      </c>
      <c r="R26" s="184">
        <v>0.3</v>
      </c>
      <c r="S26" s="126">
        <f>+R26*Q26*$D26</f>
        <v>111228</v>
      </c>
      <c r="T26" s="185" t="s">
        <v>288</v>
      </c>
      <c r="U26" s="197">
        <f>+U25</f>
        <v>10</v>
      </c>
      <c r="V26" s="184">
        <v>0.75</v>
      </c>
      <c r="W26" s="126">
        <f>+V26*U26*$D26</f>
        <v>556140</v>
      </c>
      <c r="X26" s="185" t="s">
        <v>288</v>
      </c>
    </row>
    <row r="27" spans="2:26" x14ac:dyDescent="0.25">
      <c r="B27" s="181" t="s">
        <v>135</v>
      </c>
      <c r="C27" s="109" t="s">
        <v>113</v>
      </c>
      <c r="D27" s="196">
        <f>+D21</f>
        <v>46943</v>
      </c>
      <c r="E27" s="197">
        <f>+E26</f>
        <v>3</v>
      </c>
      <c r="F27" s="184">
        <v>1</v>
      </c>
      <c r="G27" s="126">
        <f>+F27*E27*$D27</f>
        <v>140829</v>
      </c>
      <c r="H27" s="185" t="s">
        <v>136</v>
      </c>
      <c r="I27" s="197">
        <f>+I25+1</f>
        <v>7</v>
      </c>
      <c r="J27" s="184">
        <v>0.75</v>
      </c>
      <c r="K27" s="126">
        <f>+J27*I27*$D27</f>
        <v>246450.75</v>
      </c>
      <c r="L27" s="185" t="s">
        <v>136</v>
      </c>
      <c r="M27" s="197">
        <f>+M25+1</f>
        <v>4</v>
      </c>
      <c r="N27" s="184">
        <v>0.75</v>
      </c>
      <c r="O27" s="126">
        <f>+N27*M27*$D27</f>
        <v>140829</v>
      </c>
      <c r="P27" s="185" t="s">
        <v>136</v>
      </c>
      <c r="Q27" s="197">
        <f>+Q25+1</f>
        <v>6</v>
      </c>
      <c r="R27" s="184">
        <v>0.75</v>
      </c>
      <c r="S27" s="126">
        <f>+R27*Q27*$D27</f>
        <v>211243.5</v>
      </c>
      <c r="T27" s="185" t="s">
        <v>136</v>
      </c>
      <c r="U27" s="197">
        <f>+U25+1</f>
        <v>11</v>
      </c>
      <c r="V27" s="184">
        <f t="shared" si="5"/>
        <v>1</v>
      </c>
      <c r="W27" s="126">
        <f>+V27*U27*$D27</f>
        <v>516373</v>
      </c>
      <c r="X27" s="185" t="s">
        <v>136</v>
      </c>
    </row>
    <row r="28" spans="2:26" s="195" customFormat="1" x14ac:dyDescent="0.25">
      <c r="B28" s="176" t="s">
        <v>137</v>
      </c>
      <c r="C28" s="177" t="s">
        <v>113</v>
      </c>
      <c r="D28" s="194"/>
      <c r="E28" s="178">
        <f>+E5-1</f>
        <v>4</v>
      </c>
      <c r="F28" s="179"/>
      <c r="G28" s="179"/>
      <c r="H28" s="180"/>
      <c r="I28" s="178">
        <f>+I10-1</f>
        <v>7</v>
      </c>
      <c r="J28" s="179"/>
      <c r="K28" s="179"/>
      <c r="L28" s="180"/>
      <c r="M28" s="178">
        <f>+M10-1</f>
        <v>4</v>
      </c>
      <c r="N28" s="179"/>
      <c r="O28" s="179"/>
      <c r="P28" s="180"/>
      <c r="Q28" s="178">
        <f>+Q10-1</f>
        <v>6</v>
      </c>
      <c r="R28" s="179"/>
      <c r="S28" s="179"/>
      <c r="T28" s="180"/>
      <c r="U28" s="178">
        <f>+U5-2</f>
        <v>10</v>
      </c>
      <c r="V28" s="184">
        <f t="shared" si="5"/>
        <v>0</v>
      </c>
      <c r="W28" s="179"/>
      <c r="X28" s="180"/>
    </row>
    <row r="29" spans="2:26" x14ac:dyDescent="0.25">
      <c r="B29" s="181" t="s">
        <v>138</v>
      </c>
      <c r="C29" s="109" t="s">
        <v>113</v>
      </c>
      <c r="D29" s="196">
        <v>120000</v>
      </c>
      <c r="E29" s="197">
        <f>+E28-1</f>
        <v>3</v>
      </c>
      <c r="F29" s="184">
        <v>0.3</v>
      </c>
      <c r="G29" s="126">
        <f>+F29*E29*$D29</f>
        <v>107999.99999999999</v>
      </c>
      <c r="H29" s="185" t="s">
        <v>289</v>
      </c>
      <c r="I29" s="197">
        <f>+I28-1</f>
        <v>6</v>
      </c>
      <c r="J29" s="184">
        <v>0.2</v>
      </c>
      <c r="K29" s="126">
        <f>+J29*I29*$D29</f>
        <v>144000.00000000003</v>
      </c>
      <c r="L29" s="185" t="s">
        <v>289</v>
      </c>
      <c r="M29" s="197">
        <f>+M28-1</f>
        <v>3</v>
      </c>
      <c r="N29" s="184">
        <v>0.2</v>
      </c>
      <c r="O29" s="126">
        <f>+N29*M29*$D29</f>
        <v>72000.000000000015</v>
      </c>
      <c r="P29" s="185" t="s">
        <v>289</v>
      </c>
      <c r="Q29" s="197">
        <f>+Q28-1</f>
        <v>5</v>
      </c>
      <c r="R29" s="184">
        <v>0.2</v>
      </c>
      <c r="S29" s="126">
        <f>+R29*Q29*$D29</f>
        <v>120000</v>
      </c>
      <c r="T29" s="185" t="s">
        <v>289</v>
      </c>
      <c r="U29" s="197">
        <f>+U28-1</f>
        <v>9</v>
      </c>
      <c r="V29" s="184">
        <v>0.5</v>
      </c>
      <c r="W29" s="126">
        <f>+V29*U29*$D29</f>
        <v>540000</v>
      </c>
      <c r="X29" s="185" t="s">
        <v>289</v>
      </c>
    </row>
    <row r="30" spans="2:26" x14ac:dyDescent="0.25">
      <c r="B30" s="181" t="s">
        <v>139</v>
      </c>
      <c r="C30" s="109" t="s">
        <v>113</v>
      </c>
      <c r="D30" s="196">
        <v>70000</v>
      </c>
      <c r="E30" s="197">
        <f>+E28</f>
        <v>4</v>
      </c>
      <c r="F30" s="184">
        <v>0.5</v>
      </c>
      <c r="G30" s="126">
        <f>+F30*E30*$D30</f>
        <v>140000</v>
      </c>
      <c r="H30" s="185" t="s">
        <v>140</v>
      </c>
      <c r="I30" s="197">
        <f>+I28</f>
        <v>7</v>
      </c>
      <c r="J30" s="184">
        <v>0.5</v>
      </c>
      <c r="K30" s="126">
        <f>+J30*I30*$D30</f>
        <v>245000</v>
      </c>
      <c r="L30" s="185" t="s">
        <v>140</v>
      </c>
      <c r="M30" s="197">
        <f>+M28</f>
        <v>4</v>
      </c>
      <c r="N30" s="184">
        <v>0.5</v>
      </c>
      <c r="O30" s="126">
        <f>+N30*M30*$D30</f>
        <v>140000</v>
      </c>
      <c r="P30" s="185" t="s">
        <v>140</v>
      </c>
      <c r="Q30" s="197">
        <f>+Q28</f>
        <v>6</v>
      </c>
      <c r="R30" s="184">
        <v>0.5</v>
      </c>
      <c r="S30" s="126">
        <f>+R30*Q30*$D30</f>
        <v>210000</v>
      </c>
      <c r="T30" s="185" t="s">
        <v>140</v>
      </c>
      <c r="U30" s="197">
        <f>+U28</f>
        <v>10</v>
      </c>
      <c r="V30" s="184">
        <v>0.75</v>
      </c>
      <c r="W30" s="126">
        <f>+V30*U30*$D30</f>
        <v>525000</v>
      </c>
      <c r="X30" s="185" t="s">
        <v>140</v>
      </c>
    </row>
    <row r="31" spans="2:26" x14ac:dyDescent="0.25">
      <c r="B31" s="181" t="s">
        <v>141</v>
      </c>
      <c r="C31" s="109" t="s">
        <v>113</v>
      </c>
      <c r="D31" s="196">
        <v>55000</v>
      </c>
      <c r="E31" s="197">
        <f>+E28</f>
        <v>4</v>
      </c>
      <c r="F31" s="184">
        <v>1</v>
      </c>
      <c r="G31" s="126">
        <f>+F31*E31*$D31</f>
        <v>220000</v>
      </c>
      <c r="H31" s="185" t="s">
        <v>198</v>
      </c>
      <c r="I31" s="197">
        <f>+I28</f>
        <v>7</v>
      </c>
      <c r="J31" s="184">
        <v>1</v>
      </c>
      <c r="K31" s="126">
        <f>+J31*I31*$D31</f>
        <v>385000</v>
      </c>
      <c r="L31" s="185" t="s">
        <v>198</v>
      </c>
      <c r="M31" s="197">
        <f>+M28</f>
        <v>4</v>
      </c>
      <c r="N31" s="184">
        <v>1</v>
      </c>
      <c r="O31" s="126">
        <f>+N31*M31*$D31</f>
        <v>220000</v>
      </c>
      <c r="P31" s="185" t="s">
        <v>198</v>
      </c>
      <c r="Q31" s="197">
        <f>+Q28</f>
        <v>6</v>
      </c>
      <c r="R31" s="184">
        <v>1</v>
      </c>
      <c r="S31" s="126">
        <f>+R31*Q31*$D31</f>
        <v>330000</v>
      </c>
      <c r="T31" s="185" t="s">
        <v>198</v>
      </c>
      <c r="U31" s="197">
        <f>+U28</f>
        <v>10</v>
      </c>
      <c r="V31" s="184">
        <f t="shared" si="5"/>
        <v>1</v>
      </c>
      <c r="W31" s="126">
        <f>+V31*U31*$D31</f>
        <v>550000</v>
      </c>
      <c r="X31" s="185" t="s">
        <v>198</v>
      </c>
    </row>
    <row r="32" spans="2:26" s="152" customFormat="1" x14ac:dyDescent="0.25">
      <c r="B32" s="186" t="s">
        <v>132</v>
      </c>
      <c r="C32" s="187"/>
      <c r="D32" s="158"/>
      <c r="E32" s="188"/>
      <c r="F32" s="192"/>
      <c r="G32" s="190">
        <f>SUM(G19:G31)</f>
        <v>1573171</v>
      </c>
      <c r="H32" s="191"/>
      <c r="I32" s="188"/>
      <c r="J32" s="189"/>
      <c r="K32" s="190">
        <f>SUM(K19:K31)</f>
        <v>3045190.35</v>
      </c>
      <c r="L32" s="191"/>
      <c r="M32" s="188"/>
      <c r="N32" s="189"/>
      <c r="O32" s="190">
        <f>SUM(O19:O31)</f>
        <v>1766717.8</v>
      </c>
      <c r="P32" s="191"/>
      <c r="Q32" s="188"/>
      <c r="R32" s="189"/>
      <c r="S32" s="190">
        <f>SUM(S19:S31)</f>
        <v>2575699.5</v>
      </c>
      <c r="T32" s="191"/>
      <c r="U32" s="188"/>
      <c r="V32" s="189"/>
      <c r="W32" s="190">
        <f>SUM(W19:W31)</f>
        <v>5730931</v>
      </c>
      <c r="X32" s="191"/>
      <c r="Z32" s="193">
        <f>+W32-S32-O32-K32-G32</f>
        <v>-3229847.6500000004</v>
      </c>
    </row>
    <row r="33" spans="2:26" s="152" customFormat="1" x14ac:dyDescent="0.25">
      <c r="B33" s="172"/>
      <c r="C33" s="187"/>
      <c r="D33" s="158"/>
      <c r="E33" s="188"/>
      <c r="F33" s="189"/>
      <c r="G33" s="190"/>
      <c r="H33" s="191"/>
      <c r="I33" s="188"/>
      <c r="J33" s="189"/>
      <c r="K33" s="190"/>
      <c r="L33" s="191"/>
      <c r="M33" s="188"/>
      <c r="N33" s="189"/>
      <c r="O33" s="190"/>
      <c r="P33" s="191"/>
      <c r="Q33" s="188"/>
      <c r="R33" s="189"/>
      <c r="S33" s="190"/>
      <c r="T33" s="191"/>
      <c r="U33" s="188"/>
      <c r="V33" s="189"/>
      <c r="W33" s="190"/>
      <c r="X33" s="191"/>
    </row>
    <row r="34" spans="2:26" s="205" customFormat="1" x14ac:dyDescent="0.25">
      <c r="B34" s="198" t="s">
        <v>168</v>
      </c>
      <c r="C34" s="199"/>
      <c r="D34" s="200"/>
      <c r="E34" s="201"/>
      <c r="F34" s="202"/>
      <c r="G34" s="203">
        <f>+G32+G15</f>
        <v>1860763</v>
      </c>
      <c r="H34" s="204"/>
      <c r="I34" s="201"/>
      <c r="J34" s="202"/>
      <c r="K34" s="203">
        <f>+K32+K15</f>
        <v>3620374.35</v>
      </c>
      <c r="L34" s="204"/>
      <c r="M34" s="201"/>
      <c r="N34" s="202"/>
      <c r="O34" s="203">
        <f>+O32+O15</f>
        <v>2126207.7999999998</v>
      </c>
      <c r="P34" s="204"/>
      <c r="Q34" s="201"/>
      <c r="R34" s="202"/>
      <c r="S34" s="203">
        <f>+S32+S15</f>
        <v>3078985.5</v>
      </c>
      <c r="T34" s="204"/>
      <c r="U34" s="201"/>
      <c r="V34" s="202"/>
      <c r="W34" s="203">
        <f>+W32+W15</f>
        <v>7312687</v>
      </c>
      <c r="X34" s="204"/>
      <c r="Z34" s="193">
        <f>+W34-S34-O34-K34-G34</f>
        <v>-3373643.65</v>
      </c>
    </row>
    <row r="35" spans="2:26" s="152" customFormat="1" x14ac:dyDescent="0.25">
      <c r="B35" s="172"/>
      <c r="C35" s="187"/>
      <c r="D35" s="158"/>
      <c r="E35" s="188"/>
      <c r="F35" s="189"/>
      <c r="G35" s="190"/>
      <c r="H35" s="191"/>
      <c r="I35" s="188"/>
      <c r="J35" s="189"/>
      <c r="K35" s="190"/>
      <c r="L35" s="191"/>
      <c r="M35" s="188"/>
      <c r="N35" s="189"/>
      <c r="O35" s="190"/>
      <c r="P35" s="191"/>
      <c r="Q35" s="188"/>
      <c r="R35" s="189"/>
      <c r="S35" s="190"/>
      <c r="T35" s="191"/>
      <c r="U35" s="188"/>
      <c r="V35" s="189"/>
      <c r="W35" s="190"/>
      <c r="X35" s="191"/>
    </row>
    <row r="36" spans="2:26" x14ac:dyDescent="0.25">
      <c r="B36" s="172" t="s">
        <v>116</v>
      </c>
      <c r="E36" s="173"/>
      <c r="F36" s="174"/>
      <c r="G36" s="174"/>
      <c r="H36" s="175"/>
      <c r="I36" s="173"/>
      <c r="J36" s="174"/>
      <c r="K36" s="174"/>
      <c r="L36" s="175"/>
      <c r="M36" s="173"/>
      <c r="N36" s="174"/>
      <c r="O36" s="174"/>
      <c r="P36" s="175"/>
      <c r="Q36" s="173"/>
      <c r="R36" s="174"/>
      <c r="S36" s="174"/>
      <c r="T36" s="175"/>
      <c r="U36" s="173"/>
      <c r="V36" s="174"/>
      <c r="W36" s="174"/>
      <c r="X36" s="175"/>
    </row>
    <row r="37" spans="2:26" x14ac:dyDescent="0.25">
      <c r="B37" s="181" t="s">
        <v>293</v>
      </c>
      <c r="C37" s="109" t="s">
        <v>113</v>
      </c>
      <c r="D37" s="196">
        <v>30000</v>
      </c>
      <c r="E37" s="197">
        <f>+E19</f>
        <v>3</v>
      </c>
      <c r="F37" s="184">
        <v>1</v>
      </c>
      <c r="G37" s="124">
        <f>+F37*E37*$D37</f>
        <v>90000</v>
      </c>
      <c r="H37" s="185"/>
      <c r="I37" s="197">
        <f>+I18</f>
        <v>7</v>
      </c>
      <c r="J37" s="184">
        <v>1</v>
      </c>
      <c r="K37" s="126">
        <f t="shared" ref="K37:K42" si="6">+J37*I37*$D37</f>
        <v>210000</v>
      </c>
      <c r="L37" s="185"/>
      <c r="M37" s="197">
        <f>+M18</f>
        <v>4</v>
      </c>
      <c r="N37" s="184">
        <v>1</v>
      </c>
      <c r="O37" s="126">
        <f t="shared" ref="O37:O42" si="7">+N37*M37*$D37</f>
        <v>120000</v>
      </c>
      <c r="P37" s="185"/>
      <c r="Q37" s="197">
        <f>+Q18</f>
        <v>6</v>
      </c>
      <c r="R37" s="184">
        <v>1</v>
      </c>
      <c r="S37" s="126">
        <f t="shared" ref="S37:S42" si="8">+R37*Q37*$D37</f>
        <v>180000</v>
      </c>
      <c r="T37" s="185"/>
      <c r="U37" s="197">
        <f t="shared" ref="U37:U44" si="9">Q37+M37+I37+E37</f>
        <v>20</v>
      </c>
      <c r="V37" s="184">
        <v>1</v>
      </c>
      <c r="W37" s="126">
        <f t="shared" ref="W37:W42" si="10">+V37*U37*$D37</f>
        <v>600000</v>
      </c>
      <c r="X37" s="185"/>
    </row>
    <row r="38" spans="2:26" x14ac:dyDescent="0.25">
      <c r="B38" s="181" t="s">
        <v>143</v>
      </c>
      <c r="C38" s="109" t="s">
        <v>144</v>
      </c>
      <c r="D38" s="196">
        <v>15000</v>
      </c>
      <c r="E38" s="197">
        <v>14</v>
      </c>
      <c r="F38" s="184">
        <v>1</v>
      </c>
      <c r="G38" s="124">
        <f t="shared" ref="G38" si="11">+F38*E38*$D38</f>
        <v>210000</v>
      </c>
      <c r="H38" s="185"/>
      <c r="I38" s="197">
        <v>17</v>
      </c>
      <c r="J38" s="184">
        <v>1</v>
      </c>
      <c r="K38" s="126">
        <f t="shared" ref="K38" si="12">+J38*I38*$D38</f>
        <v>255000</v>
      </c>
      <c r="L38" s="185" t="s">
        <v>336</v>
      </c>
      <c r="M38" s="197">
        <v>15</v>
      </c>
      <c r="N38" s="184">
        <v>1</v>
      </c>
      <c r="O38" s="126">
        <f t="shared" ref="O38" si="13">+N38*M38*$D38</f>
        <v>225000</v>
      </c>
      <c r="P38" s="185"/>
      <c r="Q38" s="197">
        <v>9</v>
      </c>
      <c r="R38" s="184">
        <v>1</v>
      </c>
      <c r="S38" s="126">
        <f t="shared" ref="S38" si="14">+R38*Q38*$D38</f>
        <v>135000</v>
      </c>
      <c r="T38" s="185"/>
      <c r="U38" s="197">
        <f t="shared" si="9"/>
        <v>55</v>
      </c>
      <c r="V38" s="184">
        <v>1</v>
      </c>
      <c r="W38" s="126">
        <f t="shared" ref="W38" si="15">+V38*U38*$D38</f>
        <v>825000</v>
      </c>
      <c r="X38" s="185"/>
    </row>
    <row r="39" spans="2:26" x14ac:dyDescent="0.25">
      <c r="B39" s="181" t="s">
        <v>321</v>
      </c>
      <c r="C39" s="109" t="s">
        <v>113</v>
      </c>
      <c r="D39" s="196">
        <v>5000</v>
      </c>
      <c r="E39" s="197">
        <f>+E5</f>
        <v>5</v>
      </c>
      <c r="F39" s="184">
        <v>1</v>
      </c>
      <c r="G39" s="124">
        <f t="shared" ref="G39:G44" si="16">+F39*E39*$D39</f>
        <v>25000</v>
      </c>
      <c r="H39" s="185"/>
      <c r="I39" s="197">
        <f>+I5</f>
        <v>11</v>
      </c>
      <c r="J39" s="184">
        <v>1</v>
      </c>
      <c r="K39" s="126">
        <f t="shared" si="6"/>
        <v>55000</v>
      </c>
      <c r="L39" s="185"/>
      <c r="M39" s="197">
        <f>+M5</f>
        <v>7</v>
      </c>
      <c r="N39" s="184">
        <v>1</v>
      </c>
      <c r="O39" s="126">
        <f t="shared" si="7"/>
        <v>35000</v>
      </c>
      <c r="P39" s="185"/>
      <c r="Q39" s="197">
        <f>+Q5</f>
        <v>9</v>
      </c>
      <c r="R39" s="184">
        <v>1</v>
      </c>
      <c r="S39" s="126">
        <f t="shared" si="8"/>
        <v>45000</v>
      </c>
      <c r="T39" s="185"/>
      <c r="U39" s="197">
        <f t="shared" si="9"/>
        <v>32</v>
      </c>
      <c r="V39" s="184">
        <v>1</v>
      </c>
      <c r="W39" s="126">
        <f t="shared" si="10"/>
        <v>160000</v>
      </c>
      <c r="X39" s="185"/>
    </row>
    <row r="40" spans="2:26" x14ac:dyDescent="0.25">
      <c r="B40" s="181" t="s">
        <v>171</v>
      </c>
      <c r="C40" s="109" t="s">
        <v>144</v>
      </c>
      <c r="D40" s="196">
        <v>20000</v>
      </c>
      <c r="E40" s="197">
        <v>14</v>
      </c>
      <c r="F40" s="184">
        <v>1</v>
      </c>
      <c r="G40" s="124">
        <f t="shared" si="16"/>
        <v>280000</v>
      </c>
      <c r="H40" s="185"/>
      <c r="I40" s="197">
        <f>+I38</f>
        <v>17</v>
      </c>
      <c r="J40" s="184">
        <v>1</v>
      </c>
      <c r="K40" s="126">
        <f t="shared" si="6"/>
        <v>340000</v>
      </c>
      <c r="L40" s="185" t="s">
        <v>336</v>
      </c>
      <c r="M40" s="197">
        <f>+M38</f>
        <v>15</v>
      </c>
      <c r="N40" s="184">
        <v>1</v>
      </c>
      <c r="O40" s="126">
        <f t="shared" si="7"/>
        <v>300000</v>
      </c>
      <c r="P40" s="185"/>
      <c r="Q40" s="197">
        <f>+Q38</f>
        <v>9</v>
      </c>
      <c r="R40" s="184">
        <v>1</v>
      </c>
      <c r="S40" s="126">
        <f t="shared" si="8"/>
        <v>180000</v>
      </c>
      <c r="T40" s="185"/>
      <c r="U40" s="197">
        <f t="shared" si="9"/>
        <v>55</v>
      </c>
      <c r="V40" s="184">
        <v>1</v>
      </c>
      <c r="W40" s="126">
        <f t="shared" si="10"/>
        <v>1100000</v>
      </c>
      <c r="X40" s="185" t="s">
        <v>188</v>
      </c>
    </row>
    <row r="41" spans="2:26" x14ac:dyDescent="0.25">
      <c r="B41" s="181" t="s">
        <v>172</v>
      </c>
      <c r="C41" s="109" t="s">
        <v>144</v>
      </c>
      <c r="D41" s="196">
        <v>2500</v>
      </c>
      <c r="E41" s="197">
        <v>14</v>
      </c>
      <c r="F41" s="184">
        <v>1</v>
      </c>
      <c r="G41" s="124">
        <f t="shared" si="16"/>
        <v>35000</v>
      </c>
      <c r="H41" s="185"/>
      <c r="I41" s="197">
        <f>41+5</f>
        <v>46</v>
      </c>
      <c r="J41" s="184">
        <v>1</v>
      </c>
      <c r="K41" s="126">
        <f t="shared" si="6"/>
        <v>115000</v>
      </c>
      <c r="L41" s="185"/>
      <c r="M41" s="197">
        <v>22</v>
      </c>
      <c r="N41" s="184">
        <v>1</v>
      </c>
      <c r="O41" s="126">
        <f t="shared" si="7"/>
        <v>55000</v>
      </c>
      <c r="P41" s="185"/>
      <c r="Q41" s="197">
        <v>5</v>
      </c>
      <c r="R41" s="184">
        <v>1</v>
      </c>
      <c r="S41" s="126">
        <f t="shared" si="8"/>
        <v>12500</v>
      </c>
      <c r="T41" s="185"/>
      <c r="U41" s="197">
        <f t="shared" si="9"/>
        <v>87</v>
      </c>
      <c r="V41" s="184">
        <v>1</v>
      </c>
      <c r="W41" s="126">
        <f t="shared" si="10"/>
        <v>217500</v>
      </c>
      <c r="X41" s="185"/>
    </row>
    <row r="42" spans="2:26" x14ac:dyDescent="0.25">
      <c r="B42" s="181" t="s">
        <v>173</v>
      </c>
      <c r="C42" s="109" t="s">
        <v>144</v>
      </c>
      <c r="D42" s="196">
        <v>2000</v>
      </c>
      <c r="E42" s="197">
        <v>14</v>
      </c>
      <c r="F42" s="184">
        <v>1</v>
      </c>
      <c r="G42" s="124">
        <f t="shared" si="16"/>
        <v>28000</v>
      </c>
      <c r="H42" s="185"/>
      <c r="I42" s="197">
        <f>13+42</f>
        <v>55</v>
      </c>
      <c r="J42" s="184">
        <v>1</v>
      </c>
      <c r="K42" s="126">
        <f t="shared" si="6"/>
        <v>110000</v>
      </c>
      <c r="L42" s="185"/>
      <c r="M42" s="197">
        <v>14</v>
      </c>
      <c r="N42" s="184">
        <v>1</v>
      </c>
      <c r="O42" s="126">
        <f t="shared" si="7"/>
        <v>28000</v>
      </c>
      <c r="P42" s="185"/>
      <c r="Q42" s="197">
        <v>44</v>
      </c>
      <c r="R42" s="184">
        <v>1</v>
      </c>
      <c r="S42" s="126">
        <f t="shared" si="8"/>
        <v>88000</v>
      </c>
      <c r="T42" s="185"/>
      <c r="U42" s="197">
        <f t="shared" si="9"/>
        <v>127</v>
      </c>
      <c r="V42" s="184">
        <v>1</v>
      </c>
      <c r="W42" s="126">
        <f t="shared" si="10"/>
        <v>254000</v>
      </c>
      <c r="X42" s="185"/>
    </row>
    <row r="43" spans="2:26" x14ac:dyDescent="0.25">
      <c r="B43" s="181" t="s">
        <v>202</v>
      </c>
      <c r="C43" s="109" t="s">
        <v>144</v>
      </c>
      <c r="D43" s="196">
        <v>500</v>
      </c>
      <c r="E43" s="197">
        <f>14*2</f>
        <v>28</v>
      </c>
      <c r="F43" s="184">
        <v>1</v>
      </c>
      <c r="G43" s="124">
        <f t="shared" si="16"/>
        <v>14000</v>
      </c>
      <c r="H43" s="185"/>
      <c r="I43" s="206" t="e">
        <f>+#REF!</f>
        <v>#REF!</v>
      </c>
      <c r="J43" s="184">
        <v>1</v>
      </c>
      <c r="K43" s="126" t="e">
        <f t="shared" ref="K43:K44" si="17">+J43*I43*$D43</f>
        <v>#REF!</v>
      </c>
      <c r="L43" s="185"/>
      <c r="M43" s="206" t="e">
        <f>+#REF!</f>
        <v>#REF!</v>
      </c>
      <c r="N43" s="184">
        <v>1</v>
      </c>
      <c r="O43" s="126" t="e">
        <f t="shared" ref="O43:O44" si="18">+N43*M43*$D43</f>
        <v>#REF!</v>
      </c>
      <c r="P43" s="185"/>
      <c r="Q43" s="206" t="e">
        <f>+#REF!</f>
        <v>#REF!</v>
      </c>
      <c r="R43" s="184">
        <v>1</v>
      </c>
      <c r="S43" s="126" t="e">
        <f t="shared" ref="S43:S44" si="19">+R43*Q43*$D43</f>
        <v>#REF!</v>
      </c>
      <c r="T43" s="185"/>
      <c r="U43" s="197" t="e">
        <f t="shared" si="9"/>
        <v>#REF!</v>
      </c>
      <c r="V43" s="184">
        <v>1</v>
      </c>
      <c r="W43" s="126" t="e">
        <f t="shared" ref="W43:W44" si="20">+V43*U43*$D43</f>
        <v>#REF!</v>
      </c>
      <c r="X43" s="185"/>
    </row>
    <row r="44" spans="2:26" x14ac:dyDescent="0.25">
      <c r="B44" s="181" t="s">
        <v>280</v>
      </c>
      <c r="C44" s="109" t="s">
        <v>30</v>
      </c>
      <c r="D44" s="196">
        <v>1</v>
      </c>
      <c r="E44" s="207">
        <f>+SUM(G37:G43)</f>
        <v>682000</v>
      </c>
      <c r="F44" s="184">
        <v>0.05</v>
      </c>
      <c r="G44" s="124">
        <f t="shared" si="16"/>
        <v>34100</v>
      </c>
      <c r="H44" s="185" t="s">
        <v>281</v>
      </c>
      <c r="I44" s="207" t="e">
        <f>+SUM(K37:K43)</f>
        <v>#REF!</v>
      </c>
      <c r="J44" s="184">
        <v>0.05</v>
      </c>
      <c r="K44" s="124" t="e">
        <f t="shared" si="17"/>
        <v>#REF!</v>
      </c>
      <c r="L44" s="185" t="s">
        <v>281</v>
      </c>
      <c r="M44" s="207" t="e">
        <f>+SUM(O37:O43)</f>
        <v>#REF!</v>
      </c>
      <c r="N44" s="184">
        <v>0.05</v>
      </c>
      <c r="O44" s="124" t="e">
        <f t="shared" si="18"/>
        <v>#REF!</v>
      </c>
      <c r="P44" s="185" t="s">
        <v>281</v>
      </c>
      <c r="Q44" s="207" t="e">
        <f>+SUM(S37:S43)</f>
        <v>#REF!</v>
      </c>
      <c r="R44" s="184">
        <v>0.05</v>
      </c>
      <c r="S44" s="124" t="e">
        <f t="shared" si="19"/>
        <v>#REF!</v>
      </c>
      <c r="T44" s="185" t="s">
        <v>281</v>
      </c>
      <c r="U44" s="197" t="e">
        <f t="shared" si="9"/>
        <v>#REF!</v>
      </c>
      <c r="V44" s="184">
        <v>0.05</v>
      </c>
      <c r="W44" s="124" t="e">
        <f t="shared" si="20"/>
        <v>#REF!</v>
      </c>
      <c r="X44" s="185" t="s">
        <v>281</v>
      </c>
    </row>
    <row r="45" spans="2:26" x14ac:dyDescent="0.25">
      <c r="E45" s="173"/>
      <c r="F45" s="174"/>
      <c r="G45" s="174"/>
      <c r="H45" s="175"/>
      <c r="I45" s="173"/>
      <c r="J45" s="174"/>
      <c r="K45" s="174"/>
      <c r="L45" s="175"/>
      <c r="M45" s="173"/>
      <c r="N45" s="174"/>
      <c r="O45" s="174"/>
      <c r="P45" s="175"/>
      <c r="Q45" s="173"/>
      <c r="R45" s="174"/>
      <c r="S45" s="174"/>
      <c r="T45" s="175"/>
      <c r="U45" s="173"/>
      <c r="V45" s="174"/>
      <c r="W45" s="174"/>
      <c r="X45" s="175"/>
    </row>
    <row r="46" spans="2:26" s="205" customFormat="1" x14ac:dyDescent="0.25">
      <c r="B46" s="198" t="s">
        <v>167</v>
      </c>
      <c r="C46" s="199"/>
      <c r="D46" s="200"/>
      <c r="E46" s="201"/>
      <c r="F46" s="208"/>
      <c r="G46" s="209">
        <f>SUM(G37:G45)</f>
        <v>716100</v>
      </c>
      <c r="H46" s="204"/>
      <c r="I46" s="201"/>
      <c r="J46" s="208"/>
      <c r="K46" s="209" t="e">
        <f>SUM(K37:K45)</f>
        <v>#REF!</v>
      </c>
      <c r="L46" s="204"/>
      <c r="M46" s="201"/>
      <c r="N46" s="208"/>
      <c r="O46" s="209" t="e">
        <f>SUM(O37:O45)</f>
        <v>#REF!</v>
      </c>
      <c r="P46" s="204"/>
      <c r="Q46" s="201"/>
      <c r="R46" s="208"/>
      <c r="S46" s="209" t="e">
        <f>SUM(S37:S45)</f>
        <v>#REF!</v>
      </c>
      <c r="T46" s="204"/>
      <c r="U46" s="201"/>
      <c r="V46" s="208"/>
      <c r="W46" s="209" t="e">
        <f>SUM(W37:W45)</f>
        <v>#REF!</v>
      </c>
      <c r="X46" s="204"/>
      <c r="Z46" s="193" t="e">
        <f>+W46-S46-O46-K46-G46</f>
        <v>#REF!</v>
      </c>
    </row>
    <row r="47" spans="2:26" x14ac:dyDescent="0.25">
      <c r="E47" s="173"/>
      <c r="F47" s="174"/>
      <c r="G47" s="174"/>
      <c r="H47" s="175"/>
      <c r="I47" s="173"/>
      <c r="J47" s="174"/>
      <c r="K47" s="174"/>
      <c r="L47" s="175"/>
      <c r="M47" s="173"/>
      <c r="N47" s="174"/>
      <c r="O47" s="174"/>
      <c r="P47" s="175"/>
      <c r="Q47" s="173"/>
      <c r="R47" s="174"/>
      <c r="S47" s="174"/>
      <c r="T47" s="175"/>
      <c r="U47" s="173"/>
      <c r="V47" s="174"/>
      <c r="W47" s="174"/>
      <c r="X47" s="175"/>
    </row>
    <row r="48" spans="2:26" x14ac:dyDescent="0.25">
      <c r="B48" s="172" t="s">
        <v>117</v>
      </c>
      <c r="E48" s="173"/>
      <c r="F48" s="174"/>
      <c r="G48" s="174"/>
      <c r="H48" s="175"/>
      <c r="I48" s="173"/>
      <c r="J48" s="174"/>
      <c r="K48" s="174"/>
      <c r="L48" s="175"/>
      <c r="M48" s="173"/>
      <c r="N48" s="174"/>
      <c r="O48" s="174"/>
      <c r="P48" s="175"/>
      <c r="Q48" s="173"/>
      <c r="R48" s="174"/>
      <c r="S48" s="174"/>
      <c r="T48" s="175"/>
      <c r="U48" s="173"/>
      <c r="V48" s="174"/>
      <c r="W48" s="174"/>
      <c r="X48" s="175"/>
    </row>
    <row r="49" spans="2:26" x14ac:dyDescent="0.25">
      <c r="B49" s="181" t="s">
        <v>174</v>
      </c>
      <c r="C49" s="109" t="s">
        <v>113</v>
      </c>
      <c r="D49" s="196">
        <v>7500</v>
      </c>
      <c r="E49" s="197">
        <f>+E18</f>
        <v>3</v>
      </c>
      <c r="F49" s="184">
        <v>1</v>
      </c>
      <c r="G49" s="124">
        <f>+F49*E49*D49</f>
        <v>22500</v>
      </c>
      <c r="H49" s="185"/>
      <c r="I49" s="197">
        <f>+I18</f>
        <v>7</v>
      </c>
      <c r="J49" s="184">
        <v>1</v>
      </c>
      <c r="K49" s="126">
        <f t="shared" ref="K49:K52" si="21">+J49*I49*$D49</f>
        <v>52500</v>
      </c>
      <c r="L49" s="185"/>
      <c r="M49" s="197">
        <f>+M18</f>
        <v>4</v>
      </c>
      <c r="N49" s="184">
        <v>1</v>
      </c>
      <c r="O49" s="126">
        <f t="shared" ref="O49:O52" si="22">+N49*M49*$D49</f>
        <v>30000</v>
      </c>
      <c r="P49" s="185"/>
      <c r="Q49" s="197">
        <f>+Q18</f>
        <v>6</v>
      </c>
      <c r="R49" s="184">
        <v>1</v>
      </c>
      <c r="S49" s="126">
        <f t="shared" ref="S49:S52" si="23">+R49*Q49*$D49</f>
        <v>45000</v>
      </c>
      <c r="T49" s="185"/>
      <c r="U49" s="197">
        <f>+U18</f>
        <v>11</v>
      </c>
      <c r="V49" s="184">
        <v>1</v>
      </c>
      <c r="W49" s="126">
        <f t="shared" ref="W49:W52" si="24">+V49*U49*$D49</f>
        <v>82500</v>
      </c>
      <c r="X49" s="185"/>
    </row>
    <row r="50" spans="2:26" x14ac:dyDescent="0.25">
      <c r="B50" s="181" t="s">
        <v>175</v>
      </c>
      <c r="C50" s="109" t="s">
        <v>113</v>
      </c>
      <c r="D50" s="196">
        <v>5000</v>
      </c>
      <c r="E50" s="197">
        <f>+E49</f>
        <v>3</v>
      </c>
      <c r="F50" s="184">
        <v>1</v>
      </c>
      <c r="G50" s="124">
        <f t="shared" ref="G50:G52" si="25">+F50*E50*D50</f>
        <v>15000</v>
      </c>
      <c r="H50" s="185"/>
      <c r="I50" s="197">
        <f>+I49</f>
        <v>7</v>
      </c>
      <c r="J50" s="184">
        <v>1</v>
      </c>
      <c r="K50" s="126">
        <f t="shared" si="21"/>
        <v>35000</v>
      </c>
      <c r="L50" s="185"/>
      <c r="M50" s="197">
        <f>+M49</f>
        <v>4</v>
      </c>
      <c r="N50" s="184">
        <v>1</v>
      </c>
      <c r="O50" s="126">
        <f t="shared" si="22"/>
        <v>20000</v>
      </c>
      <c r="P50" s="185"/>
      <c r="Q50" s="197">
        <f>+Q49</f>
        <v>6</v>
      </c>
      <c r="R50" s="184">
        <v>1</v>
      </c>
      <c r="S50" s="126">
        <f t="shared" si="23"/>
        <v>30000</v>
      </c>
      <c r="T50" s="185"/>
      <c r="U50" s="197">
        <f>+U49</f>
        <v>11</v>
      </c>
      <c r="V50" s="184">
        <v>1</v>
      </c>
      <c r="W50" s="126">
        <f t="shared" si="24"/>
        <v>55000</v>
      </c>
      <c r="X50" s="185"/>
    </row>
    <row r="51" spans="2:26" x14ac:dyDescent="0.25">
      <c r="B51" s="181" t="s">
        <v>176</v>
      </c>
      <c r="C51" s="109" t="s">
        <v>113</v>
      </c>
      <c r="D51" s="196">
        <v>3500</v>
      </c>
      <c r="E51" s="197">
        <f>+E50</f>
        <v>3</v>
      </c>
      <c r="F51" s="184">
        <v>1</v>
      </c>
      <c r="G51" s="124">
        <f t="shared" si="25"/>
        <v>10500</v>
      </c>
      <c r="H51" s="185"/>
      <c r="I51" s="197">
        <f>+I50</f>
        <v>7</v>
      </c>
      <c r="J51" s="184">
        <v>1</v>
      </c>
      <c r="K51" s="126">
        <f t="shared" si="21"/>
        <v>24500</v>
      </c>
      <c r="L51" s="185"/>
      <c r="M51" s="197">
        <f>+M50</f>
        <v>4</v>
      </c>
      <c r="N51" s="184">
        <v>1</v>
      </c>
      <c r="O51" s="126">
        <f t="shared" si="22"/>
        <v>14000</v>
      </c>
      <c r="P51" s="185"/>
      <c r="Q51" s="197">
        <f>+Q50</f>
        <v>6</v>
      </c>
      <c r="R51" s="184">
        <v>1</v>
      </c>
      <c r="S51" s="126">
        <f t="shared" si="23"/>
        <v>21000</v>
      </c>
      <c r="T51" s="185"/>
      <c r="U51" s="197">
        <f>+U50</f>
        <v>11</v>
      </c>
      <c r="V51" s="184">
        <v>1</v>
      </c>
      <c r="W51" s="126">
        <f t="shared" si="24"/>
        <v>38500</v>
      </c>
      <c r="X51" s="185"/>
    </row>
    <row r="52" spans="2:26" x14ac:dyDescent="0.25">
      <c r="B52" s="181" t="s">
        <v>177</v>
      </c>
      <c r="C52" s="109" t="s">
        <v>113</v>
      </c>
      <c r="D52" s="196">
        <v>2500</v>
      </c>
      <c r="E52" s="197">
        <f>+E51</f>
        <v>3</v>
      </c>
      <c r="F52" s="184">
        <v>1</v>
      </c>
      <c r="G52" s="124">
        <f t="shared" si="25"/>
        <v>7500</v>
      </c>
      <c r="H52" s="185"/>
      <c r="I52" s="197">
        <f>+I51</f>
        <v>7</v>
      </c>
      <c r="J52" s="184">
        <v>1</v>
      </c>
      <c r="K52" s="126">
        <f t="shared" si="21"/>
        <v>17500</v>
      </c>
      <c r="L52" s="185"/>
      <c r="M52" s="197">
        <f>+M51</f>
        <v>4</v>
      </c>
      <c r="N52" s="184">
        <v>1</v>
      </c>
      <c r="O52" s="126">
        <f t="shared" si="22"/>
        <v>10000</v>
      </c>
      <c r="P52" s="185"/>
      <c r="Q52" s="197">
        <f>+Q51</f>
        <v>6</v>
      </c>
      <c r="R52" s="184">
        <v>1</v>
      </c>
      <c r="S52" s="126">
        <f t="shared" si="23"/>
        <v>15000</v>
      </c>
      <c r="T52" s="185"/>
      <c r="U52" s="197">
        <f>+U51</f>
        <v>11</v>
      </c>
      <c r="V52" s="184">
        <v>1</v>
      </c>
      <c r="W52" s="126">
        <f t="shared" si="24"/>
        <v>27500</v>
      </c>
      <c r="X52" s="185"/>
    </row>
    <row r="53" spans="2:26" x14ac:dyDescent="0.25">
      <c r="E53" s="173"/>
      <c r="F53" s="174"/>
      <c r="G53" s="174"/>
      <c r="H53" s="175"/>
      <c r="I53" s="173"/>
      <c r="J53" s="174"/>
      <c r="K53" s="174"/>
      <c r="L53" s="175"/>
      <c r="M53" s="173"/>
      <c r="N53" s="174"/>
      <c r="O53" s="174"/>
      <c r="P53" s="175"/>
      <c r="Q53" s="173"/>
      <c r="R53" s="174"/>
      <c r="S53" s="174"/>
      <c r="T53" s="175"/>
      <c r="U53" s="173"/>
      <c r="V53" s="174"/>
      <c r="W53" s="174"/>
      <c r="X53" s="175"/>
    </row>
    <row r="54" spans="2:26" s="205" customFormat="1" x14ac:dyDescent="0.25">
      <c r="B54" s="198" t="s">
        <v>169</v>
      </c>
      <c r="C54" s="199"/>
      <c r="D54" s="200"/>
      <c r="E54" s="201"/>
      <c r="F54" s="208"/>
      <c r="G54" s="209">
        <f>SUM(G49:G53)</f>
        <v>55500</v>
      </c>
      <c r="H54" s="204"/>
      <c r="I54" s="201"/>
      <c r="J54" s="208"/>
      <c r="K54" s="209">
        <f>SUM(K49:K53)</f>
        <v>129500</v>
      </c>
      <c r="L54" s="204"/>
      <c r="M54" s="201"/>
      <c r="N54" s="208"/>
      <c r="O54" s="209">
        <f>SUM(O49:O53)</f>
        <v>74000</v>
      </c>
      <c r="P54" s="204"/>
      <c r="Q54" s="201"/>
      <c r="R54" s="208"/>
      <c r="S54" s="209">
        <f>SUM(S49:S53)</f>
        <v>111000</v>
      </c>
      <c r="T54" s="204"/>
      <c r="U54" s="201"/>
      <c r="V54" s="208"/>
      <c r="W54" s="209">
        <f>SUM(W49:W53)</f>
        <v>203500</v>
      </c>
      <c r="X54" s="204"/>
      <c r="Z54" s="193">
        <f>+W54-S54-O54-K54-G54</f>
        <v>-166500</v>
      </c>
    </row>
    <row r="55" spans="2:26" x14ac:dyDescent="0.25">
      <c r="E55" s="173"/>
      <c r="F55" s="174"/>
      <c r="G55" s="174"/>
      <c r="H55" s="175"/>
      <c r="I55" s="173"/>
      <c r="J55" s="174"/>
      <c r="K55" s="174"/>
      <c r="L55" s="175"/>
      <c r="M55" s="173"/>
      <c r="N55" s="174"/>
      <c r="O55" s="174"/>
      <c r="P55" s="175"/>
      <c r="Q55" s="173"/>
      <c r="R55" s="174"/>
      <c r="S55" s="174"/>
      <c r="T55" s="175"/>
      <c r="U55" s="173"/>
      <c r="V55" s="174"/>
      <c r="W55" s="174"/>
      <c r="X55" s="175"/>
    </row>
    <row r="56" spans="2:26" s="217" customFormat="1" ht="18.75" x14ac:dyDescent="0.3">
      <c r="B56" s="210" t="s">
        <v>166</v>
      </c>
      <c r="C56" s="211"/>
      <c r="D56" s="212"/>
      <c r="E56" s="213"/>
      <c r="F56" s="214"/>
      <c r="G56" s="215">
        <f>+G54+G46+G34</f>
        <v>2632363</v>
      </c>
      <c r="H56" s="216"/>
      <c r="I56" s="213"/>
      <c r="J56" s="214"/>
      <c r="K56" s="215" t="e">
        <f>+K54+K46+K34</f>
        <v>#REF!</v>
      </c>
      <c r="L56" s="216"/>
      <c r="M56" s="213"/>
      <c r="N56" s="214"/>
      <c r="O56" s="215" t="e">
        <f>+O54+O46+O34</f>
        <v>#REF!</v>
      </c>
      <c r="P56" s="216"/>
      <c r="Q56" s="213"/>
      <c r="R56" s="214"/>
      <c r="S56" s="215" t="e">
        <f>+S54+S46+S34</f>
        <v>#REF!</v>
      </c>
      <c r="T56" s="216"/>
      <c r="U56" s="213"/>
      <c r="V56" s="214"/>
      <c r="W56" s="215" t="e">
        <f>+W54+W46+W34</f>
        <v>#REF!</v>
      </c>
      <c r="X56" s="216"/>
      <c r="Z56" s="218" t="e">
        <f>+W56-S56-O56-K56-G56</f>
        <v>#REF!</v>
      </c>
    </row>
    <row r="57" spans="2:26" x14ac:dyDescent="0.25">
      <c r="E57" s="173"/>
      <c r="F57" s="174"/>
      <c r="G57" s="174"/>
      <c r="H57" s="175"/>
      <c r="I57" s="173"/>
      <c r="J57" s="174"/>
      <c r="K57" s="174"/>
      <c r="L57" s="175"/>
      <c r="M57" s="173"/>
      <c r="N57" s="174"/>
      <c r="O57" s="174"/>
      <c r="P57" s="175"/>
      <c r="Q57" s="173"/>
      <c r="R57" s="174"/>
      <c r="S57" s="174"/>
      <c r="T57" s="175"/>
      <c r="U57" s="173"/>
      <c r="V57" s="174"/>
      <c r="W57" s="174"/>
      <c r="X57" s="175"/>
    </row>
    <row r="58" spans="2:26" x14ac:dyDescent="0.25">
      <c r="B58" s="172" t="s">
        <v>118</v>
      </c>
      <c r="E58" s="173"/>
      <c r="F58" s="174"/>
      <c r="G58" s="174"/>
      <c r="H58" s="175"/>
      <c r="I58" s="173"/>
      <c r="J58" s="174"/>
      <c r="K58" s="174"/>
      <c r="L58" s="175"/>
      <c r="M58" s="173"/>
      <c r="N58" s="174"/>
      <c r="O58" s="174"/>
      <c r="P58" s="175"/>
      <c r="Q58" s="173"/>
      <c r="R58" s="174"/>
      <c r="S58" s="174"/>
      <c r="T58" s="175"/>
      <c r="U58" s="173"/>
      <c r="V58" s="174"/>
      <c r="W58" s="174"/>
      <c r="X58" s="175"/>
    </row>
    <row r="59" spans="2:26" x14ac:dyDescent="0.25">
      <c r="B59" s="181" t="s">
        <v>145</v>
      </c>
      <c r="C59" s="109" t="s">
        <v>113</v>
      </c>
      <c r="D59" s="196">
        <v>5000</v>
      </c>
      <c r="E59" s="197">
        <f>+E18</f>
        <v>3</v>
      </c>
      <c r="F59" s="184">
        <v>1</v>
      </c>
      <c r="G59" s="124">
        <f>+F59*E59*D59</f>
        <v>15000</v>
      </c>
      <c r="H59" s="185"/>
      <c r="I59" s="197">
        <f>+I18</f>
        <v>7</v>
      </c>
      <c r="J59" s="184">
        <v>1</v>
      </c>
      <c r="K59" s="126">
        <f t="shared" ref="K59:K71" si="26">+J59*I59*$D59</f>
        <v>35000</v>
      </c>
      <c r="L59" s="185"/>
      <c r="M59" s="197">
        <f>+M18</f>
        <v>4</v>
      </c>
      <c r="N59" s="184">
        <v>1</v>
      </c>
      <c r="O59" s="126">
        <f t="shared" ref="O59:O71" si="27">+N59*M59*$D59</f>
        <v>20000</v>
      </c>
      <c r="P59" s="185"/>
      <c r="Q59" s="197">
        <f>+Q18</f>
        <v>6</v>
      </c>
      <c r="R59" s="184">
        <v>1</v>
      </c>
      <c r="S59" s="126">
        <f t="shared" ref="S59:S71" si="28">+R59*Q59*$D59</f>
        <v>30000</v>
      </c>
      <c r="T59" s="185"/>
      <c r="U59" s="197">
        <f>+U5-1</f>
        <v>11</v>
      </c>
      <c r="V59" s="184">
        <v>1</v>
      </c>
      <c r="W59" s="126">
        <f t="shared" ref="W59:W71" si="29">+V59*U59*$D59</f>
        <v>55000</v>
      </c>
      <c r="X59" s="185"/>
    </row>
    <row r="60" spans="2:26" x14ac:dyDescent="0.25">
      <c r="B60" s="181" t="s">
        <v>146</v>
      </c>
      <c r="C60" s="109" t="s">
        <v>113</v>
      </c>
      <c r="D60" s="196">
        <f>+D14*220</f>
        <v>34474</v>
      </c>
      <c r="E60" s="197">
        <f>+E10</f>
        <v>4</v>
      </c>
      <c r="F60" s="184">
        <v>0.5</v>
      </c>
      <c r="G60" s="124">
        <f>+F60*E60*D60</f>
        <v>68948</v>
      </c>
      <c r="H60" s="185"/>
      <c r="I60" s="197">
        <f>+I10</f>
        <v>8</v>
      </c>
      <c r="J60" s="184">
        <v>0.5</v>
      </c>
      <c r="K60" s="126">
        <f t="shared" si="26"/>
        <v>137896</v>
      </c>
      <c r="L60" s="185"/>
      <c r="M60" s="197">
        <f>+M10</f>
        <v>5</v>
      </c>
      <c r="N60" s="184">
        <v>0.5</v>
      </c>
      <c r="O60" s="126">
        <f t="shared" si="27"/>
        <v>86185</v>
      </c>
      <c r="P60" s="185"/>
      <c r="Q60" s="197">
        <f>+Q10</f>
        <v>7</v>
      </c>
      <c r="R60" s="184">
        <v>0.5</v>
      </c>
      <c r="S60" s="126">
        <f t="shared" si="28"/>
        <v>120659</v>
      </c>
      <c r="T60" s="185"/>
      <c r="U60" s="197">
        <f>+U10</f>
        <v>11</v>
      </c>
      <c r="V60" s="184">
        <v>0.5</v>
      </c>
      <c r="W60" s="126">
        <f t="shared" si="29"/>
        <v>189607</v>
      </c>
      <c r="X60" s="185"/>
    </row>
    <row r="61" spans="2:26" x14ac:dyDescent="0.25">
      <c r="B61" s="181" t="s">
        <v>147</v>
      </c>
      <c r="C61" s="109" t="s">
        <v>130</v>
      </c>
      <c r="D61" s="196">
        <v>30000</v>
      </c>
      <c r="E61" s="197">
        <v>1</v>
      </c>
      <c r="F61" s="184">
        <v>1</v>
      </c>
      <c r="G61" s="124">
        <f>+F61*E61*D61</f>
        <v>30000</v>
      </c>
      <c r="H61" s="185"/>
      <c r="I61" s="197">
        <v>1</v>
      </c>
      <c r="J61" s="184">
        <v>1</v>
      </c>
      <c r="K61" s="126">
        <f t="shared" si="26"/>
        <v>30000</v>
      </c>
      <c r="L61" s="185"/>
      <c r="M61" s="197">
        <v>1</v>
      </c>
      <c r="N61" s="184">
        <v>1</v>
      </c>
      <c r="O61" s="126">
        <f t="shared" si="27"/>
        <v>30000</v>
      </c>
      <c r="P61" s="185"/>
      <c r="Q61" s="197">
        <v>1</v>
      </c>
      <c r="R61" s="184">
        <v>1</v>
      </c>
      <c r="S61" s="126">
        <f t="shared" si="28"/>
        <v>30000</v>
      </c>
      <c r="T61" s="185"/>
      <c r="U61" s="197">
        <v>1</v>
      </c>
      <c r="V61" s="184">
        <v>1</v>
      </c>
      <c r="W61" s="126">
        <f t="shared" si="29"/>
        <v>30000</v>
      </c>
      <c r="X61" s="185"/>
    </row>
    <row r="62" spans="2:26" x14ac:dyDescent="0.25">
      <c r="B62" s="181" t="s">
        <v>342</v>
      </c>
      <c r="C62" s="109" t="s">
        <v>161</v>
      </c>
      <c r="D62" s="196">
        <v>550000</v>
      </c>
      <c r="E62" s="197">
        <v>1</v>
      </c>
      <c r="F62" s="184">
        <v>1</v>
      </c>
      <c r="G62" s="124">
        <f t="shared" ref="G62:G71" si="30">+F62*E62*D62</f>
        <v>550000</v>
      </c>
      <c r="H62" s="185" t="s">
        <v>334</v>
      </c>
      <c r="I62" s="197">
        <v>1</v>
      </c>
      <c r="J62" s="184">
        <f>+I5/24</f>
        <v>0.45833333333333331</v>
      </c>
      <c r="K62" s="124">
        <f>+J62*I62*$D62</f>
        <v>252083.33333333331</v>
      </c>
      <c r="L62" s="185" t="s">
        <v>254</v>
      </c>
      <c r="M62" s="197">
        <v>1</v>
      </c>
      <c r="N62" s="184">
        <f>+M5/24</f>
        <v>0.29166666666666669</v>
      </c>
      <c r="O62" s="126">
        <f t="shared" si="27"/>
        <v>160416.66666666669</v>
      </c>
      <c r="P62" s="185" t="s">
        <v>254</v>
      </c>
      <c r="Q62" s="197">
        <v>1</v>
      </c>
      <c r="R62" s="184">
        <f>+Q5/24</f>
        <v>0.375</v>
      </c>
      <c r="S62" s="124">
        <f>+R62*Q62*$D62</f>
        <v>206250</v>
      </c>
      <c r="T62" s="185" t="s">
        <v>254</v>
      </c>
      <c r="U62" s="197">
        <f>+Q62+M62+I62+E62</f>
        <v>4</v>
      </c>
      <c r="V62" s="184"/>
      <c r="W62" s="124">
        <f>+S62+O62+K62+G62</f>
        <v>1168750</v>
      </c>
      <c r="X62" s="185" t="s">
        <v>341</v>
      </c>
    </row>
    <row r="63" spans="2:26" x14ac:dyDescent="0.25">
      <c r="B63" s="181" t="s">
        <v>148</v>
      </c>
      <c r="C63" s="109" t="s">
        <v>161</v>
      </c>
      <c r="D63" s="196">
        <v>35000</v>
      </c>
      <c r="E63" s="197">
        <v>3</v>
      </c>
      <c r="F63" s="184">
        <v>1</v>
      </c>
      <c r="G63" s="124">
        <f t="shared" si="30"/>
        <v>105000</v>
      </c>
      <c r="H63" s="185" t="s">
        <v>162</v>
      </c>
      <c r="I63" s="197">
        <v>2</v>
      </c>
      <c r="J63" s="184">
        <v>1</v>
      </c>
      <c r="K63" s="126">
        <f t="shared" si="26"/>
        <v>70000</v>
      </c>
      <c r="L63" s="185"/>
      <c r="M63" s="197">
        <v>2</v>
      </c>
      <c r="N63" s="184">
        <v>1</v>
      </c>
      <c r="O63" s="126">
        <f t="shared" si="27"/>
        <v>70000</v>
      </c>
      <c r="P63" s="185"/>
      <c r="Q63" s="197">
        <v>2</v>
      </c>
      <c r="R63" s="184">
        <v>1</v>
      </c>
      <c r="S63" s="126">
        <f t="shared" si="28"/>
        <v>70000</v>
      </c>
      <c r="T63" s="185"/>
      <c r="U63" s="197">
        <v>2</v>
      </c>
      <c r="V63" s="184">
        <v>1</v>
      </c>
      <c r="W63" s="126">
        <f t="shared" si="29"/>
        <v>70000</v>
      </c>
      <c r="X63" s="185"/>
    </row>
    <row r="64" spans="2:26" x14ac:dyDescent="0.25">
      <c r="B64" s="181" t="s">
        <v>149</v>
      </c>
      <c r="C64" s="109" t="s">
        <v>161</v>
      </c>
      <c r="D64" s="196">
        <v>5000</v>
      </c>
      <c r="E64" s="197">
        <f>+E5</f>
        <v>5</v>
      </c>
      <c r="F64" s="184">
        <v>1</v>
      </c>
      <c r="G64" s="124">
        <f t="shared" si="30"/>
        <v>25000</v>
      </c>
      <c r="H64" s="185"/>
      <c r="I64" s="197">
        <v>4</v>
      </c>
      <c r="J64" s="184">
        <v>1</v>
      </c>
      <c r="K64" s="126">
        <f t="shared" si="26"/>
        <v>20000</v>
      </c>
      <c r="L64" s="185"/>
      <c r="M64" s="197">
        <v>4</v>
      </c>
      <c r="N64" s="184">
        <v>1</v>
      </c>
      <c r="O64" s="126">
        <f t="shared" si="27"/>
        <v>20000</v>
      </c>
      <c r="P64" s="185"/>
      <c r="Q64" s="197">
        <v>4</v>
      </c>
      <c r="R64" s="184">
        <v>1</v>
      </c>
      <c r="S64" s="126">
        <f t="shared" si="28"/>
        <v>20000</v>
      </c>
      <c r="T64" s="185"/>
      <c r="U64" s="197">
        <v>4</v>
      </c>
      <c r="V64" s="184">
        <v>1</v>
      </c>
      <c r="W64" s="126">
        <f t="shared" si="29"/>
        <v>20000</v>
      </c>
      <c r="X64" s="185"/>
    </row>
    <row r="65" spans="1:26" x14ac:dyDescent="0.25">
      <c r="B65" s="181" t="s">
        <v>150</v>
      </c>
      <c r="C65" s="109" t="s">
        <v>161</v>
      </c>
      <c r="D65" s="196">
        <v>3500</v>
      </c>
      <c r="E65" s="197">
        <v>2</v>
      </c>
      <c r="F65" s="184">
        <v>1</v>
      </c>
      <c r="G65" s="124">
        <f t="shared" si="30"/>
        <v>7000</v>
      </c>
      <c r="H65" s="185" t="s">
        <v>163</v>
      </c>
      <c r="I65" s="197">
        <v>1</v>
      </c>
      <c r="J65" s="184">
        <v>1</v>
      </c>
      <c r="K65" s="126">
        <f t="shared" si="26"/>
        <v>3500</v>
      </c>
      <c r="L65" s="185"/>
      <c r="M65" s="197">
        <v>1</v>
      </c>
      <c r="N65" s="184">
        <v>1</v>
      </c>
      <c r="O65" s="126">
        <f t="shared" si="27"/>
        <v>3500</v>
      </c>
      <c r="P65" s="185"/>
      <c r="Q65" s="197">
        <v>1</v>
      </c>
      <c r="R65" s="184">
        <v>1</v>
      </c>
      <c r="S65" s="126">
        <f t="shared" si="28"/>
        <v>3500</v>
      </c>
      <c r="T65" s="185"/>
      <c r="U65" s="197">
        <v>1</v>
      </c>
      <c r="V65" s="184">
        <v>1</v>
      </c>
      <c r="W65" s="126">
        <f t="shared" si="29"/>
        <v>3500</v>
      </c>
      <c r="X65" s="185"/>
    </row>
    <row r="66" spans="1:26" x14ac:dyDescent="0.25">
      <c r="B66" s="181" t="s">
        <v>151</v>
      </c>
      <c r="C66" s="109" t="s">
        <v>161</v>
      </c>
      <c r="D66" s="196">
        <v>5000</v>
      </c>
      <c r="E66" s="197">
        <v>2</v>
      </c>
      <c r="F66" s="184">
        <v>1</v>
      </c>
      <c r="G66" s="124">
        <f t="shared" si="30"/>
        <v>10000</v>
      </c>
      <c r="H66" s="185" t="s">
        <v>163</v>
      </c>
      <c r="I66" s="197">
        <v>2</v>
      </c>
      <c r="J66" s="184">
        <v>1</v>
      </c>
      <c r="K66" s="126">
        <f t="shared" si="26"/>
        <v>10000</v>
      </c>
      <c r="L66" s="185"/>
      <c r="M66" s="197">
        <v>2</v>
      </c>
      <c r="N66" s="184">
        <v>1</v>
      </c>
      <c r="O66" s="126">
        <f t="shared" si="27"/>
        <v>10000</v>
      </c>
      <c r="P66" s="185"/>
      <c r="Q66" s="197">
        <v>2</v>
      </c>
      <c r="R66" s="184">
        <v>1</v>
      </c>
      <c r="S66" s="126">
        <f t="shared" si="28"/>
        <v>10000</v>
      </c>
      <c r="T66" s="185"/>
      <c r="U66" s="197">
        <v>2</v>
      </c>
      <c r="V66" s="184">
        <v>1</v>
      </c>
      <c r="W66" s="126">
        <f t="shared" si="29"/>
        <v>10000</v>
      </c>
      <c r="X66" s="185"/>
    </row>
    <row r="67" spans="1:26" x14ac:dyDescent="0.25">
      <c r="B67" s="181" t="s">
        <v>152</v>
      </c>
      <c r="C67" s="109" t="s">
        <v>161</v>
      </c>
      <c r="D67" s="196">
        <v>300000</v>
      </c>
      <c r="E67" s="197">
        <v>2</v>
      </c>
      <c r="F67" s="184">
        <v>0.3</v>
      </c>
      <c r="G67" s="124">
        <f t="shared" si="30"/>
        <v>180000</v>
      </c>
      <c r="H67" s="185" t="s">
        <v>164</v>
      </c>
      <c r="I67" s="197">
        <v>2</v>
      </c>
      <c r="J67" s="184">
        <v>0.3</v>
      </c>
      <c r="K67" s="126">
        <f t="shared" si="26"/>
        <v>180000</v>
      </c>
      <c r="L67" s="185"/>
      <c r="M67" s="197">
        <v>2</v>
      </c>
      <c r="N67" s="184">
        <v>0.3</v>
      </c>
      <c r="O67" s="126">
        <f t="shared" si="27"/>
        <v>180000</v>
      </c>
      <c r="P67" s="185"/>
      <c r="Q67" s="197">
        <v>2</v>
      </c>
      <c r="R67" s="184">
        <v>0.3</v>
      </c>
      <c r="S67" s="126">
        <f t="shared" si="28"/>
        <v>180000</v>
      </c>
      <c r="T67" s="185"/>
      <c r="U67" s="197">
        <v>2</v>
      </c>
      <c r="V67" s="184">
        <v>0.3</v>
      </c>
      <c r="W67" s="126">
        <f t="shared" si="29"/>
        <v>180000</v>
      </c>
      <c r="X67" s="185"/>
    </row>
    <row r="68" spans="1:26" x14ac:dyDescent="0.25">
      <c r="B68" s="181" t="s">
        <v>153</v>
      </c>
      <c r="C68" s="109" t="s">
        <v>113</v>
      </c>
      <c r="D68" s="196">
        <v>20000</v>
      </c>
      <c r="E68" s="197">
        <v>5</v>
      </c>
      <c r="F68" s="184">
        <v>1</v>
      </c>
      <c r="G68" s="124">
        <f t="shared" si="30"/>
        <v>100000</v>
      </c>
      <c r="H68" s="185"/>
      <c r="I68" s="197">
        <f>+I5-1</f>
        <v>10</v>
      </c>
      <c r="J68" s="184">
        <v>1</v>
      </c>
      <c r="K68" s="126">
        <f t="shared" si="26"/>
        <v>200000</v>
      </c>
      <c r="L68" s="185"/>
      <c r="M68" s="197">
        <f>+M5-1</f>
        <v>6</v>
      </c>
      <c r="N68" s="184">
        <v>1</v>
      </c>
      <c r="O68" s="126">
        <f t="shared" si="27"/>
        <v>120000</v>
      </c>
      <c r="P68" s="185"/>
      <c r="Q68" s="197">
        <f>+Q5-1</f>
        <v>8</v>
      </c>
      <c r="R68" s="184">
        <v>1</v>
      </c>
      <c r="S68" s="126">
        <f t="shared" si="28"/>
        <v>160000</v>
      </c>
      <c r="T68" s="185"/>
      <c r="U68" s="197">
        <f>+U5-1</f>
        <v>11</v>
      </c>
      <c r="V68" s="184">
        <v>1</v>
      </c>
      <c r="W68" s="126">
        <f t="shared" si="29"/>
        <v>220000</v>
      </c>
      <c r="X68" s="185"/>
    </row>
    <row r="69" spans="1:26" x14ac:dyDescent="0.25">
      <c r="B69" s="181" t="s">
        <v>154</v>
      </c>
      <c r="C69" s="109" t="s">
        <v>130</v>
      </c>
      <c r="D69" s="196">
        <f>8*2000</f>
        <v>16000</v>
      </c>
      <c r="E69" s="197">
        <v>1</v>
      </c>
      <c r="F69" s="184">
        <v>1</v>
      </c>
      <c r="G69" s="124">
        <f t="shared" si="30"/>
        <v>16000</v>
      </c>
      <c r="H69" s="185" t="s">
        <v>343</v>
      </c>
      <c r="I69" s="197">
        <v>1</v>
      </c>
      <c r="J69" s="184">
        <v>1</v>
      </c>
      <c r="K69" s="126">
        <f t="shared" si="26"/>
        <v>16000</v>
      </c>
      <c r="L69" s="185"/>
      <c r="M69" s="197">
        <v>1</v>
      </c>
      <c r="N69" s="184">
        <v>1</v>
      </c>
      <c r="O69" s="126">
        <f t="shared" si="27"/>
        <v>16000</v>
      </c>
      <c r="P69" s="185"/>
      <c r="Q69" s="197">
        <v>1</v>
      </c>
      <c r="R69" s="184">
        <v>1</v>
      </c>
      <c r="S69" s="126">
        <f t="shared" si="28"/>
        <v>16000</v>
      </c>
      <c r="T69" s="185"/>
      <c r="U69" s="197">
        <v>1</v>
      </c>
      <c r="V69" s="184">
        <v>1</v>
      </c>
      <c r="W69" s="126">
        <f t="shared" si="29"/>
        <v>16000</v>
      </c>
      <c r="X69" s="185"/>
    </row>
    <row r="70" spans="1:26" x14ac:dyDescent="0.25">
      <c r="B70" s="181" t="s">
        <v>155</v>
      </c>
      <c r="C70" s="109" t="s">
        <v>130</v>
      </c>
      <c r="D70" s="196">
        <v>12000</v>
      </c>
      <c r="E70" s="197">
        <v>1</v>
      </c>
      <c r="F70" s="184">
        <v>1</v>
      </c>
      <c r="G70" s="124">
        <f t="shared" si="30"/>
        <v>12000</v>
      </c>
      <c r="H70" s="185"/>
      <c r="I70" s="197">
        <v>1</v>
      </c>
      <c r="J70" s="184">
        <v>1</v>
      </c>
      <c r="K70" s="126">
        <f t="shared" si="26"/>
        <v>12000</v>
      </c>
      <c r="L70" s="185"/>
      <c r="M70" s="197">
        <v>1</v>
      </c>
      <c r="N70" s="184">
        <v>1</v>
      </c>
      <c r="O70" s="126">
        <f t="shared" si="27"/>
        <v>12000</v>
      </c>
      <c r="P70" s="185"/>
      <c r="Q70" s="197">
        <v>1</v>
      </c>
      <c r="R70" s="184">
        <v>1</v>
      </c>
      <c r="S70" s="126">
        <f t="shared" si="28"/>
        <v>12000</v>
      </c>
      <c r="T70" s="185"/>
      <c r="U70" s="197">
        <v>1</v>
      </c>
      <c r="V70" s="184">
        <v>1</v>
      </c>
      <c r="W70" s="126">
        <f t="shared" si="29"/>
        <v>12000</v>
      </c>
      <c r="X70" s="185"/>
    </row>
    <row r="71" spans="1:26" x14ac:dyDescent="0.25">
      <c r="B71" s="181" t="s">
        <v>156</v>
      </c>
      <c r="C71" s="109" t="s">
        <v>113</v>
      </c>
      <c r="D71" s="196">
        <v>1500</v>
      </c>
      <c r="E71" s="197">
        <f>+E5</f>
        <v>5</v>
      </c>
      <c r="F71" s="184">
        <v>1</v>
      </c>
      <c r="G71" s="124">
        <f t="shared" si="30"/>
        <v>7500</v>
      </c>
      <c r="H71" s="185"/>
      <c r="I71" s="197">
        <f>+I5-1</f>
        <v>10</v>
      </c>
      <c r="J71" s="184">
        <v>1</v>
      </c>
      <c r="K71" s="126">
        <f t="shared" si="26"/>
        <v>15000</v>
      </c>
      <c r="L71" s="185"/>
      <c r="M71" s="197">
        <f>+M5-1</f>
        <v>6</v>
      </c>
      <c r="N71" s="184">
        <v>1</v>
      </c>
      <c r="O71" s="126">
        <f t="shared" si="27"/>
        <v>9000</v>
      </c>
      <c r="P71" s="185"/>
      <c r="Q71" s="197">
        <f>+Q5-1</f>
        <v>8</v>
      </c>
      <c r="R71" s="184">
        <v>1</v>
      </c>
      <c r="S71" s="126">
        <f t="shared" si="28"/>
        <v>12000</v>
      </c>
      <c r="T71" s="185"/>
      <c r="U71" s="197">
        <f>+U5-1</f>
        <v>11</v>
      </c>
      <c r="V71" s="184">
        <v>1</v>
      </c>
      <c r="W71" s="126">
        <f t="shared" si="29"/>
        <v>16500</v>
      </c>
      <c r="X71" s="185"/>
    </row>
    <row r="72" spans="1:26" x14ac:dyDescent="0.25">
      <c r="B72" s="181" t="s">
        <v>157</v>
      </c>
      <c r="C72" s="109"/>
      <c r="D72" s="196"/>
      <c r="E72" s="197"/>
      <c r="F72" s="219"/>
      <c r="G72" s="124"/>
      <c r="H72" s="185" t="s">
        <v>283</v>
      </c>
      <c r="I72" s="197"/>
      <c r="J72" s="219"/>
      <c r="K72" s="124"/>
      <c r="L72" s="185" t="s">
        <v>283</v>
      </c>
      <c r="M72" s="197"/>
      <c r="N72" s="219"/>
      <c r="O72" s="124"/>
      <c r="P72" s="185" t="s">
        <v>283</v>
      </c>
      <c r="Q72" s="197"/>
      <c r="R72" s="219"/>
      <c r="S72" s="124"/>
      <c r="T72" s="185" t="s">
        <v>283</v>
      </c>
      <c r="U72" s="197"/>
      <c r="V72" s="219"/>
      <c r="W72" s="124"/>
      <c r="X72" s="185" t="s">
        <v>283</v>
      </c>
    </row>
    <row r="73" spans="1:26" x14ac:dyDescent="0.25">
      <c r="B73" s="181" t="s">
        <v>158</v>
      </c>
      <c r="C73" s="109"/>
      <c r="D73" s="196"/>
      <c r="E73" s="197"/>
      <c r="F73" s="122"/>
      <c r="G73" s="122"/>
      <c r="H73" s="185" t="s">
        <v>283</v>
      </c>
      <c r="I73" s="197"/>
      <c r="J73" s="122"/>
      <c r="K73" s="122"/>
      <c r="L73" s="185" t="s">
        <v>283</v>
      </c>
      <c r="M73" s="197"/>
      <c r="N73" s="122"/>
      <c r="O73" s="122"/>
      <c r="P73" s="185" t="s">
        <v>283</v>
      </c>
      <c r="Q73" s="197"/>
      <c r="R73" s="122"/>
      <c r="S73" s="122"/>
      <c r="T73" s="185" t="s">
        <v>283</v>
      </c>
      <c r="U73" s="197"/>
      <c r="V73" s="122"/>
      <c r="W73" s="122"/>
      <c r="X73" s="185" t="s">
        <v>283</v>
      </c>
    </row>
    <row r="74" spans="1:26" x14ac:dyDescent="0.25">
      <c r="B74" s="181" t="s">
        <v>159</v>
      </c>
      <c r="C74" s="109"/>
      <c r="D74" s="196"/>
      <c r="E74" s="197"/>
      <c r="F74" s="122"/>
      <c r="G74" s="122"/>
      <c r="H74" s="185" t="s">
        <v>283</v>
      </c>
      <c r="I74" s="197"/>
      <c r="J74" s="122"/>
      <c r="K74" s="122"/>
      <c r="L74" s="185" t="s">
        <v>283</v>
      </c>
      <c r="M74" s="197"/>
      <c r="N74" s="122"/>
      <c r="O74" s="122"/>
      <c r="P74" s="185" t="s">
        <v>283</v>
      </c>
      <c r="Q74" s="197"/>
      <c r="R74" s="122"/>
      <c r="S74" s="122"/>
      <c r="T74" s="185" t="s">
        <v>283</v>
      </c>
      <c r="U74" s="197"/>
      <c r="V74" s="122"/>
      <c r="W74" s="122"/>
      <c r="X74" s="185" t="s">
        <v>283</v>
      </c>
    </row>
    <row r="75" spans="1:26" x14ac:dyDescent="0.25">
      <c r="B75" s="181" t="s">
        <v>160</v>
      </c>
      <c r="C75" s="109"/>
      <c r="D75" s="196"/>
      <c r="E75" s="197"/>
      <c r="F75" s="122"/>
      <c r="G75" s="122"/>
      <c r="H75" s="185" t="s">
        <v>283</v>
      </c>
      <c r="I75" s="197"/>
      <c r="J75" s="122"/>
      <c r="K75" s="122"/>
      <c r="L75" s="185" t="s">
        <v>283</v>
      </c>
      <c r="M75" s="197"/>
      <c r="N75" s="122"/>
      <c r="O75" s="122"/>
      <c r="P75" s="185" t="s">
        <v>283</v>
      </c>
      <c r="Q75" s="197"/>
      <c r="R75" s="122"/>
      <c r="S75" s="122"/>
      <c r="T75" s="185" t="s">
        <v>283</v>
      </c>
      <c r="U75" s="197"/>
      <c r="V75" s="122"/>
      <c r="W75" s="122"/>
      <c r="X75" s="185" t="s">
        <v>283</v>
      </c>
    </row>
    <row r="76" spans="1:26" x14ac:dyDescent="0.25">
      <c r="E76" s="173"/>
      <c r="F76" s="174"/>
      <c r="G76" s="174"/>
      <c r="H76" s="175"/>
      <c r="I76" s="173"/>
      <c r="J76" s="174"/>
      <c r="K76" s="174"/>
      <c r="L76" s="175"/>
      <c r="M76" s="173"/>
      <c r="N76" s="174"/>
      <c r="O76" s="174"/>
      <c r="P76" s="175"/>
      <c r="Q76" s="173"/>
      <c r="R76" s="174"/>
      <c r="S76" s="174"/>
      <c r="T76" s="175"/>
      <c r="U76" s="173"/>
      <c r="V76" s="174"/>
      <c r="W76" s="174"/>
      <c r="X76" s="175"/>
    </row>
    <row r="77" spans="1:26" x14ac:dyDescent="0.25">
      <c r="E77" s="173"/>
      <c r="F77" s="174"/>
      <c r="G77" s="174"/>
      <c r="H77" s="175"/>
      <c r="I77" s="173"/>
      <c r="J77" s="174"/>
      <c r="K77" s="174"/>
      <c r="L77" s="175"/>
      <c r="M77" s="173"/>
      <c r="N77" s="174"/>
      <c r="O77" s="174"/>
      <c r="P77" s="175"/>
      <c r="Q77" s="173"/>
      <c r="R77" s="174"/>
      <c r="S77" s="174"/>
      <c r="T77" s="175"/>
      <c r="U77" s="173"/>
      <c r="V77" s="174"/>
      <c r="W77" s="174"/>
      <c r="X77" s="175"/>
    </row>
    <row r="78" spans="1:26" s="205" customFormat="1" x14ac:dyDescent="0.25">
      <c r="B78" s="198" t="s">
        <v>165</v>
      </c>
      <c r="C78" s="199"/>
      <c r="D78" s="200"/>
      <c r="E78" s="201"/>
      <c r="F78" s="184">
        <f>+G78/G56</f>
        <v>0.42792274469744485</v>
      </c>
      <c r="G78" s="203">
        <f>SUM(G59:G77)</f>
        <v>1126448</v>
      </c>
      <c r="H78" s="204"/>
      <c r="I78" s="201"/>
      <c r="J78" s="184" t="e">
        <f>+K78/K56</f>
        <v>#REF!</v>
      </c>
      <c r="K78" s="203">
        <f>SUM(K59:K77)</f>
        <v>981479.33333333326</v>
      </c>
      <c r="L78" s="204"/>
      <c r="M78" s="201"/>
      <c r="N78" s="184" t="e">
        <f>+O78/O56</f>
        <v>#REF!</v>
      </c>
      <c r="O78" s="203">
        <f>SUM(O59:O77)</f>
        <v>737101.66666666674</v>
      </c>
      <c r="P78" s="204"/>
      <c r="Q78" s="201"/>
      <c r="R78" s="184" t="e">
        <f>+S78/S56</f>
        <v>#REF!</v>
      </c>
      <c r="S78" s="203">
        <f>SUM(S59:S77)</f>
        <v>870409</v>
      </c>
      <c r="T78" s="204"/>
      <c r="U78" s="201"/>
      <c r="V78" s="184" t="e">
        <f>+W78/W56</f>
        <v>#REF!</v>
      </c>
      <c r="W78" s="203">
        <f>SUM(W59:W77)</f>
        <v>1991357</v>
      </c>
      <c r="X78" s="204"/>
      <c r="Z78" s="193">
        <f>+W78-S78-O78-K78-G78</f>
        <v>-1724081</v>
      </c>
    </row>
    <row r="79" spans="1:26" x14ac:dyDescent="0.25">
      <c r="E79" s="173"/>
      <c r="F79" s="174"/>
      <c r="G79" s="174"/>
      <c r="H79" s="175"/>
      <c r="I79" s="173"/>
      <c r="J79" s="174"/>
      <c r="K79" s="174"/>
      <c r="L79" s="175"/>
      <c r="M79" s="173"/>
      <c r="N79" s="174"/>
      <c r="O79" s="174"/>
      <c r="P79" s="175"/>
      <c r="Q79" s="173"/>
      <c r="R79" s="174"/>
      <c r="S79" s="174"/>
      <c r="T79" s="175"/>
      <c r="U79" s="173"/>
      <c r="V79" s="174"/>
      <c r="W79" s="174"/>
      <c r="X79" s="175"/>
    </row>
    <row r="80" spans="1:26" s="227" customFormat="1" ht="18.75" x14ac:dyDescent="0.3">
      <c r="A80" s="220"/>
      <c r="B80" s="221" t="s">
        <v>170</v>
      </c>
      <c r="C80" s="222"/>
      <c r="D80" s="223"/>
      <c r="E80" s="224"/>
      <c r="F80" s="220"/>
      <c r="G80" s="225">
        <f>+G78+G56</f>
        <v>3758811</v>
      </c>
      <c r="H80" s="226"/>
      <c r="I80" s="224"/>
      <c r="J80" s="220"/>
      <c r="K80" s="225" t="e">
        <f>+K78+K56</f>
        <v>#REF!</v>
      </c>
      <c r="L80" s="226"/>
      <c r="M80" s="224"/>
      <c r="N80" s="220"/>
      <c r="O80" s="225" t="e">
        <f>+O78+O56</f>
        <v>#REF!</v>
      </c>
      <c r="P80" s="226"/>
      <c r="Q80" s="224"/>
      <c r="R80" s="220"/>
      <c r="S80" s="225" t="e">
        <f>+S78+S56</f>
        <v>#REF!</v>
      </c>
      <c r="T80" s="226"/>
      <c r="U80" s="224"/>
      <c r="V80" s="220"/>
      <c r="W80" s="225" t="e">
        <f>+W78+W56</f>
        <v>#REF!</v>
      </c>
      <c r="X80" s="226"/>
      <c r="Y80" s="220"/>
      <c r="Z80" s="193" t="e">
        <f>+W80-S80-O80-K80-G80</f>
        <v>#REF!</v>
      </c>
    </row>
    <row r="81" spans="1:26" x14ac:dyDescent="0.25">
      <c r="A81" s="174"/>
      <c r="B81" s="228"/>
      <c r="C81" s="229"/>
      <c r="D81" s="230"/>
      <c r="E81" s="173"/>
      <c r="F81" s="174"/>
      <c r="G81" s="174"/>
      <c r="H81" s="175"/>
      <c r="I81" s="173"/>
      <c r="J81" s="174"/>
      <c r="K81" s="174"/>
      <c r="L81" s="175"/>
      <c r="M81" s="173"/>
      <c r="N81" s="174"/>
      <c r="O81" s="174"/>
      <c r="P81" s="175"/>
      <c r="Q81" s="173"/>
      <c r="R81" s="174"/>
      <c r="S81" s="174"/>
      <c r="T81" s="175"/>
      <c r="U81" s="173"/>
      <c r="V81" s="174"/>
      <c r="W81" s="174"/>
      <c r="X81" s="175"/>
      <c r="Y81" s="174"/>
    </row>
    <row r="82" spans="1:26" x14ac:dyDescent="0.25">
      <c r="E82" s="173"/>
      <c r="F82" s="174"/>
      <c r="G82" s="174"/>
      <c r="H82" s="175"/>
      <c r="I82" s="173"/>
      <c r="J82" s="174"/>
      <c r="K82" s="174"/>
      <c r="L82" s="175"/>
      <c r="M82" s="173"/>
      <c r="N82" s="174"/>
      <c r="O82" s="174"/>
      <c r="P82" s="175"/>
      <c r="Q82" s="173"/>
      <c r="R82" s="174"/>
      <c r="S82" s="174"/>
      <c r="T82" s="175"/>
      <c r="U82" s="173"/>
      <c r="V82" s="174"/>
      <c r="W82" s="174"/>
      <c r="X82" s="175"/>
    </row>
    <row r="83" spans="1:26" s="231" customFormat="1" ht="30" customHeight="1" x14ac:dyDescent="0.25">
      <c r="B83" s="232" t="s">
        <v>284</v>
      </c>
      <c r="C83" s="129" t="s">
        <v>183</v>
      </c>
      <c r="D83" s="233" t="s">
        <v>184</v>
      </c>
      <c r="E83" s="234"/>
      <c r="F83" s="235"/>
      <c r="G83" s="235"/>
      <c r="H83" s="236"/>
      <c r="I83" s="234"/>
      <c r="J83" s="235"/>
      <c r="K83" s="235"/>
      <c r="L83" s="236"/>
      <c r="M83" s="234"/>
      <c r="N83" s="235"/>
      <c r="O83" s="235"/>
      <c r="P83" s="236"/>
      <c r="Q83" s="234"/>
      <c r="R83" s="235"/>
      <c r="S83" s="235"/>
      <c r="T83" s="236"/>
      <c r="U83" s="234"/>
      <c r="V83" s="235"/>
      <c r="W83" s="235"/>
      <c r="X83" s="236"/>
    </row>
    <row r="84" spans="1:26" x14ac:dyDescent="0.25">
      <c r="B84" s="181" t="s">
        <v>178</v>
      </c>
      <c r="C84" s="237">
        <v>0.1</v>
      </c>
      <c r="D84" s="238">
        <f>+C84/$C$92*$D$92</f>
        <v>0.13106159895150724</v>
      </c>
      <c r="E84" s="197"/>
      <c r="F84" s="124"/>
      <c r="G84" s="126">
        <f>+G$80*$D84</f>
        <v>492635.77981651388</v>
      </c>
      <c r="H84" s="185"/>
      <c r="I84" s="197"/>
      <c r="J84" s="122"/>
      <c r="K84" s="126" t="e">
        <f>+K$80*$D84</f>
        <v>#REF!</v>
      </c>
      <c r="L84" s="185"/>
      <c r="M84" s="197"/>
      <c r="N84" s="122"/>
      <c r="O84" s="126" t="e">
        <f>+O$80*$D84</f>
        <v>#REF!</v>
      </c>
      <c r="P84" s="185"/>
      <c r="Q84" s="197"/>
      <c r="R84" s="122"/>
      <c r="S84" s="126" t="e">
        <f>+S$80*$D84</f>
        <v>#REF!</v>
      </c>
      <c r="T84" s="185"/>
      <c r="U84" s="197"/>
      <c r="V84" s="122"/>
      <c r="W84" s="126" t="e">
        <f>+W$80*$D84</f>
        <v>#REF!</v>
      </c>
      <c r="X84" s="185"/>
    </row>
    <row r="85" spans="1:26" x14ac:dyDescent="0.25">
      <c r="B85" s="181" t="s">
        <v>344</v>
      </c>
      <c r="C85" s="237">
        <v>0.05</v>
      </c>
      <c r="D85" s="238">
        <f t="shared" ref="D85:D91" si="31">+C85/$C$92*$D$92</f>
        <v>6.5530799475753618E-2</v>
      </c>
      <c r="E85" s="197"/>
      <c r="F85" s="124"/>
      <c r="G85" s="126">
        <f t="shared" ref="G85:G91" si="32">+G$80*$D85</f>
        <v>246317.88990825694</v>
      </c>
      <c r="H85" s="185"/>
      <c r="I85" s="197"/>
      <c r="J85" s="122"/>
      <c r="K85" s="126" t="e">
        <f t="shared" ref="K85:K91" si="33">+K$80*$D85</f>
        <v>#REF!</v>
      </c>
      <c r="L85" s="185"/>
      <c r="M85" s="197"/>
      <c r="N85" s="122"/>
      <c r="O85" s="126" t="e">
        <f t="shared" ref="O85:O91" si="34">+O$80*$D85</f>
        <v>#REF!</v>
      </c>
      <c r="P85" s="185"/>
      <c r="Q85" s="197"/>
      <c r="R85" s="122"/>
      <c r="S85" s="126" t="e">
        <f t="shared" ref="S85:S91" si="35">+S$80*$D85</f>
        <v>#REF!</v>
      </c>
      <c r="T85" s="185"/>
      <c r="U85" s="197"/>
      <c r="V85" s="122"/>
      <c r="W85" s="126" t="e">
        <f t="shared" ref="W85:W91" si="36">+W$80*$D85</f>
        <v>#REF!</v>
      </c>
      <c r="X85" s="185"/>
    </row>
    <row r="86" spans="1:26" x14ac:dyDescent="0.25">
      <c r="B86" s="181" t="s">
        <v>179</v>
      </c>
      <c r="C86" s="237">
        <v>3.5000000000000003E-2</v>
      </c>
      <c r="D86" s="238">
        <f t="shared" si="31"/>
        <v>4.5871559633027532E-2</v>
      </c>
      <c r="E86" s="197"/>
      <c r="F86" s="124"/>
      <c r="G86" s="126">
        <f t="shared" si="32"/>
        <v>172422.52293577985</v>
      </c>
      <c r="H86" s="185"/>
      <c r="I86" s="197"/>
      <c r="J86" s="122"/>
      <c r="K86" s="126" t="e">
        <f t="shared" si="33"/>
        <v>#REF!</v>
      </c>
      <c r="L86" s="185"/>
      <c r="M86" s="197"/>
      <c r="N86" s="122"/>
      <c r="O86" s="126" t="e">
        <f t="shared" si="34"/>
        <v>#REF!</v>
      </c>
      <c r="P86" s="185"/>
      <c r="Q86" s="197"/>
      <c r="R86" s="122"/>
      <c r="S86" s="126" t="e">
        <f t="shared" si="35"/>
        <v>#REF!</v>
      </c>
      <c r="T86" s="185"/>
      <c r="U86" s="197"/>
      <c r="V86" s="122"/>
      <c r="W86" s="126" t="e">
        <f t="shared" si="36"/>
        <v>#REF!</v>
      </c>
      <c r="X86" s="185"/>
    </row>
    <row r="87" spans="1:26" x14ac:dyDescent="0.25">
      <c r="B87" s="181" t="s">
        <v>180</v>
      </c>
      <c r="C87" s="237">
        <v>1.2E-2</v>
      </c>
      <c r="D87" s="238">
        <f t="shared" si="31"/>
        <v>1.5727391874180867E-2</v>
      </c>
      <c r="E87" s="197"/>
      <c r="F87" s="124"/>
      <c r="G87" s="126">
        <f t="shared" si="32"/>
        <v>59116.293577981662</v>
      </c>
      <c r="H87" s="185"/>
      <c r="I87" s="197"/>
      <c r="J87" s="122"/>
      <c r="K87" s="126" t="e">
        <f t="shared" si="33"/>
        <v>#REF!</v>
      </c>
      <c r="L87" s="185"/>
      <c r="M87" s="197"/>
      <c r="N87" s="122"/>
      <c r="O87" s="126" t="e">
        <f t="shared" si="34"/>
        <v>#REF!</v>
      </c>
      <c r="P87" s="185"/>
      <c r="Q87" s="197"/>
      <c r="R87" s="122"/>
      <c r="S87" s="126" t="e">
        <f t="shared" si="35"/>
        <v>#REF!</v>
      </c>
      <c r="T87" s="185"/>
      <c r="U87" s="197"/>
      <c r="V87" s="122"/>
      <c r="W87" s="126" t="e">
        <f t="shared" si="36"/>
        <v>#REF!</v>
      </c>
      <c r="X87" s="185"/>
    </row>
    <row r="88" spans="1:26" x14ac:dyDescent="0.25">
      <c r="B88" s="181" t="s">
        <v>282</v>
      </c>
      <c r="C88" s="237">
        <v>0.01</v>
      </c>
      <c r="D88" s="238">
        <f t="shared" ref="D88:D89" si="37">+C88/$C$92*$D$92</f>
        <v>1.3106159895150722E-2</v>
      </c>
      <c r="E88" s="197"/>
      <c r="F88" s="124"/>
      <c r="G88" s="126">
        <f t="shared" si="32"/>
        <v>49263.577981651382</v>
      </c>
      <c r="H88" s="185"/>
      <c r="I88" s="197"/>
      <c r="J88" s="122"/>
      <c r="K88" s="126" t="e">
        <f t="shared" si="33"/>
        <v>#REF!</v>
      </c>
      <c r="L88" s="185"/>
      <c r="M88" s="197"/>
      <c r="N88" s="122"/>
      <c r="O88" s="126" t="e">
        <f t="shared" si="34"/>
        <v>#REF!</v>
      </c>
      <c r="P88" s="185"/>
      <c r="Q88" s="197"/>
      <c r="R88" s="122"/>
      <c r="S88" s="126" t="e">
        <f t="shared" si="35"/>
        <v>#REF!</v>
      </c>
      <c r="T88" s="185"/>
      <c r="U88" s="197"/>
      <c r="V88" s="122"/>
      <c r="W88" s="126" t="e">
        <f t="shared" si="36"/>
        <v>#REF!</v>
      </c>
      <c r="X88" s="185"/>
    </row>
    <row r="89" spans="1:26" x14ac:dyDescent="0.25">
      <c r="B89" s="181" t="s">
        <v>286</v>
      </c>
      <c r="C89" s="237">
        <v>0.01</v>
      </c>
      <c r="D89" s="238">
        <f t="shared" si="37"/>
        <v>1.3106159895150722E-2</v>
      </c>
      <c r="E89" s="197"/>
      <c r="F89" s="124"/>
      <c r="G89" s="126">
        <f t="shared" si="32"/>
        <v>49263.577981651382</v>
      </c>
      <c r="H89" s="185"/>
      <c r="I89" s="197"/>
      <c r="J89" s="122"/>
      <c r="K89" s="126" t="e">
        <f t="shared" si="33"/>
        <v>#REF!</v>
      </c>
      <c r="L89" s="185"/>
      <c r="M89" s="197"/>
      <c r="N89" s="122"/>
      <c r="O89" s="126" t="e">
        <f t="shared" si="34"/>
        <v>#REF!</v>
      </c>
      <c r="P89" s="185"/>
      <c r="Q89" s="197"/>
      <c r="R89" s="122"/>
      <c r="S89" s="126" t="e">
        <f t="shared" si="35"/>
        <v>#REF!</v>
      </c>
      <c r="T89" s="185"/>
      <c r="U89" s="197"/>
      <c r="V89" s="122"/>
      <c r="W89" s="126" t="e">
        <f t="shared" si="36"/>
        <v>#REF!</v>
      </c>
      <c r="X89" s="185"/>
    </row>
    <row r="90" spans="1:26" x14ac:dyDescent="0.25">
      <c r="B90" s="181" t="s">
        <v>181</v>
      </c>
      <c r="C90" s="237">
        <v>5.0000000000000001E-3</v>
      </c>
      <c r="D90" s="238">
        <f t="shared" si="31"/>
        <v>6.5530799475753609E-3</v>
      </c>
      <c r="E90" s="197"/>
      <c r="F90" s="124"/>
      <c r="G90" s="126">
        <f t="shared" si="32"/>
        <v>24631.788990825691</v>
      </c>
      <c r="H90" s="185"/>
      <c r="I90" s="197"/>
      <c r="J90" s="122"/>
      <c r="K90" s="126" t="e">
        <f t="shared" si="33"/>
        <v>#REF!</v>
      </c>
      <c r="L90" s="185"/>
      <c r="M90" s="197"/>
      <c r="N90" s="122"/>
      <c r="O90" s="126" t="e">
        <f t="shared" si="34"/>
        <v>#REF!</v>
      </c>
      <c r="P90" s="185"/>
      <c r="Q90" s="197"/>
      <c r="R90" s="122"/>
      <c r="S90" s="126" t="e">
        <f t="shared" si="35"/>
        <v>#REF!</v>
      </c>
      <c r="T90" s="185"/>
      <c r="U90" s="197"/>
      <c r="V90" s="122"/>
      <c r="W90" s="126" t="e">
        <f t="shared" si="36"/>
        <v>#REF!</v>
      </c>
      <c r="X90" s="185"/>
    </row>
    <row r="91" spans="1:26" x14ac:dyDescent="0.25">
      <c r="B91" s="181" t="s">
        <v>182</v>
      </c>
      <c r="C91" s="237">
        <v>1.4999999999999999E-2</v>
      </c>
      <c r="D91" s="238">
        <f t="shared" si="31"/>
        <v>1.9659239842726085E-2</v>
      </c>
      <c r="E91" s="197"/>
      <c r="F91" s="124"/>
      <c r="G91" s="126">
        <f t="shared" si="32"/>
        <v>73895.366972477073</v>
      </c>
      <c r="H91" s="185"/>
      <c r="I91" s="197"/>
      <c r="J91" s="122"/>
      <c r="K91" s="126" t="e">
        <f t="shared" si="33"/>
        <v>#REF!</v>
      </c>
      <c r="L91" s="185"/>
      <c r="M91" s="197"/>
      <c r="N91" s="122"/>
      <c r="O91" s="126" t="e">
        <f t="shared" si="34"/>
        <v>#REF!</v>
      </c>
      <c r="P91" s="185"/>
      <c r="Q91" s="197"/>
      <c r="R91" s="122"/>
      <c r="S91" s="126" t="e">
        <f t="shared" si="35"/>
        <v>#REF!</v>
      </c>
      <c r="T91" s="185"/>
      <c r="U91" s="197"/>
      <c r="V91" s="122"/>
      <c r="W91" s="126" t="e">
        <f t="shared" si="36"/>
        <v>#REF!</v>
      </c>
      <c r="X91" s="185"/>
    </row>
    <row r="92" spans="1:26" s="152" customFormat="1" x14ac:dyDescent="0.25">
      <c r="B92" s="172" t="s">
        <v>285</v>
      </c>
      <c r="C92" s="239">
        <f>SUM(C84:C91)</f>
        <v>0.23700000000000004</v>
      </c>
      <c r="D92" s="239">
        <f>+C92/(1-$C$92)</f>
        <v>0.31061598951507219</v>
      </c>
      <c r="E92" s="188"/>
      <c r="F92" s="190"/>
      <c r="G92" s="240">
        <f>SUM(G84:G91)</f>
        <v>1167546.7981651379</v>
      </c>
      <c r="H92" s="191"/>
      <c r="I92" s="188"/>
      <c r="J92" s="192"/>
      <c r="K92" s="240" t="e">
        <f>SUM(K84:K91)</f>
        <v>#REF!</v>
      </c>
      <c r="L92" s="191"/>
      <c r="M92" s="188"/>
      <c r="N92" s="192"/>
      <c r="O92" s="240" t="e">
        <f>SUM(O84:O91)</f>
        <v>#REF!</v>
      </c>
      <c r="P92" s="191"/>
      <c r="Q92" s="188"/>
      <c r="R92" s="192"/>
      <c r="S92" s="240" t="e">
        <f>SUM(S84:S91)</f>
        <v>#REF!</v>
      </c>
      <c r="T92" s="191"/>
      <c r="U92" s="188"/>
      <c r="V92" s="192"/>
      <c r="W92" s="240" t="e">
        <f>SUM(W84:W91)</f>
        <v>#REF!</v>
      </c>
      <c r="X92" s="191"/>
      <c r="Z92" s="193" t="e">
        <f>+W92-S92-O92-K92-G92</f>
        <v>#REF!</v>
      </c>
    </row>
    <row r="93" spans="1:26" x14ac:dyDescent="0.25">
      <c r="E93" s="173"/>
      <c r="F93" s="174"/>
      <c r="G93" s="230"/>
      <c r="H93" s="175"/>
      <c r="I93" s="173"/>
      <c r="J93" s="174"/>
      <c r="K93" s="230"/>
      <c r="L93" s="175"/>
      <c r="M93" s="173"/>
      <c r="N93" s="174"/>
      <c r="O93" s="230"/>
      <c r="P93" s="175"/>
      <c r="Q93" s="173"/>
      <c r="R93" s="174"/>
      <c r="S93" s="230"/>
      <c r="T93" s="175"/>
      <c r="U93" s="173"/>
      <c r="V93" s="174"/>
      <c r="W93" s="230"/>
      <c r="X93" s="175"/>
    </row>
    <row r="94" spans="1:26" s="217" customFormat="1" ht="18.75" x14ac:dyDescent="0.3">
      <c r="B94" s="210" t="s">
        <v>187</v>
      </c>
      <c r="C94" s="211"/>
      <c r="D94" s="212"/>
      <c r="E94" s="213"/>
      <c r="F94" s="214"/>
      <c r="G94" s="241">
        <f>+G92+G80</f>
        <v>4926357.7981651379</v>
      </c>
      <c r="H94" s="216"/>
      <c r="I94" s="213"/>
      <c r="J94" s="214"/>
      <c r="K94" s="241" t="e">
        <f>+K92+K80</f>
        <v>#REF!</v>
      </c>
      <c r="L94" s="216"/>
      <c r="M94" s="213"/>
      <c r="N94" s="214"/>
      <c r="O94" s="241" t="e">
        <f>+O92+O80</f>
        <v>#REF!</v>
      </c>
      <c r="P94" s="216"/>
      <c r="Q94" s="213"/>
      <c r="R94" s="214"/>
      <c r="S94" s="241" t="e">
        <f>+S92+S80</f>
        <v>#REF!</v>
      </c>
      <c r="T94" s="216"/>
      <c r="U94" s="213"/>
      <c r="V94" s="214"/>
      <c r="W94" s="241" t="e">
        <f>+W92+W80</f>
        <v>#REF!</v>
      </c>
      <c r="X94" s="216"/>
      <c r="Z94" s="193" t="e">
        <f t="shared" ref="Z94:Z96" si="38">+W94-S94-O94-K94-G94</f>
        <v>#REF!</v>
      </c>
    </row>
    <row r="95" spans="1:26" s="217" customFormat="1" ht="18.75" x14ac:dyDescent="0.3">
      <c r="B95" s="210" t="s">
        <v>185</v>
      </c>
      <c r="C95" s="242">
        <v>0.21</v>
      </c>
      <c r="D95" s="212"/>
      <c r="E95" s="213"/>
      <c r="F95" s="214"/>
      <c r="G95" s="241">
        <f>+G94*$C95</f>
        <v>1034535.1376146789</v>
      </c>
      <c r="H95" s="216"/>
      <c r="I95" s="213"/>
      <c r="J95" s="214"/>
      <c r="K95" s="241" t="e">
        <f>+K94*$C95</f>
        <v>#REF!</v>
      </c>
      <c r="L95" s="216"/>
      <c r="M95" s="213"/>
      <c r="N95" s="214"/>
      <c r="O95" s="241" t="e">
        <f>+O94*$C95</f>
        <v>#REF!</v>
      </c>
      <c r="P95" s="216"/>
      <c r="Q95" s="213"/>
      <c r="R95" s="214"/>
      <c r="S95" s="241" t="e">
        <f>+S94*$C95</f>
        <v>#REF!</v>
      </c>
      <c r="T95" s="216"/>
      <c r="U95" s="213"/>
      <c r="V95" s="214"/>
      <c r="W95" s="241" t="e">
        <f>+W94*$C95</f>
        <v>#REF!</v>
      </c>
      <c r="X95" s="216"/>
      <c r="Z95" s="193" t="e">
        <f t="shared" si="38"/>
        <v>#REF!</v>
      </c>
    </row>
    <row r="96" spans="1:26" s="217" customFormat="1" ht="19.5" thickBot="1" x14ac:dyDescent="0.35">
      <c r="B96" s="210" t="s">
        <v>186</v>
      </c>
      <c r="C96" s="211"/>
      <c r="D96" s="212"/>
      <c r="E96" s="243"/>
      <c r="F96" s="244"/>
      <c r="G96" s="245">
        <f>+G95+G94</f>
        <v>5960892.9357798165</v>
      </c>
      <c r="H96" s="246"/>
      <c r="I96" s="243"/>
      <c r="J96" s="244"/>
      <c r="K96" s="245" t="e">
        <f>+K95+K94</f>
        <v>#REF!</v>
      </c>
      <c r="L96" s="246"/>
      <c r="M96" s="243"/>
      <c r="N96" s="244"/>
      <c r="O96" s="245" t="e">
        <f>+O95+O94</f>
        <v>#REF!</v>
      </c>
      <c r="P96" s="246"/>
      <c r="Q96" s="243"/>
      <c r="R96" s="244"/>
      <c r="S96" s="245" t="e">
        <f>+S95+S94</f>
        <v>#REF!</v>
      </c>
      <c r="T96" s="246"/>
      <c r="U96" s="243"/>
      <c r="V96" s="244"/>
      <c r="W96" s="245" t="e">
        <f>+W95+W94</f>
        <v>#REF!</v>
      </c>
      <c r="X96" s="246"/>
      <c r="Z96" s="193" t="e">
        <f t="shared" si="38"/>
        <v>#REF!</v>
      </c>
    </row>
  </sheetData>
  <mergeCells count="23">
    <mergeCell ref="E2:H2"/>
    <mergeCell ref="I2:T2"/>
    <mergeCell ref="U2:X2"/>
    <mergeCell ref="Q3:T3"/>
    <mergeCell ref="E3:H3"/>
    <mergeCell ref="M3:P3"/>
    <mergeCell ref="E4:H4"/>
    <mergeCell ref="E5:H5"/>
    <mergeCell ref="U3:X3"/>
    <mergeCell ref="U4:X4"/>
    <mergeCell ref="U5:X5"/>
    <mergeCell ref="Q5:T5"/>
    <mergeCell ref="Q4:T4"/>
    <mergeCell ref="M4:P4"/>
    <mergeCell ref="M5:P5"/>
    <mergeCell ref="I5:L5"/>
    <mergeCell ref="I3:L3"/>
    <mergeCell ref="I4:L4"/>
    <mergeCell ref="E6:H6"/>
    <mergeCell ref="I6:L6"/>
    <mergeCell ref="M6:P6"/>
    <mergeCell ref="Q6:T6"/>
    <mergeCell ref="U6:X6"/>
  </mergeCells>
  <pageMargins left="0.11811023622047245" right="0.11811023622047245" top="0.15748031496062992" bottom="0.15748031496062992" header="0" footer="0"/>
  <pageSetup paperSize="8" scale="50" fitToWidth="2" orientation="landscape" verticalDpi="0" r:id="rId1"/>
  <ignoredErrors>
    <ignoredError sqref="F78" unlockedFormula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P15"/>
  <sheetViews>
    <sheetView showGridLines="0" workbookViewId="0">
      <selection sqref="A1:XFD1048576"/>
    </sheetView>
  </sheetViews>
  <sheetFormatPr baseColWidth="10" defaultColWidth="11.42578125" defaultRowHeight="15" x14ac:dyDescent="0.25"/>
  <cols>
    <col min="1" max="1" width="8.28515625" style="88" customWidth="1"/>
    <col min="2" max="2" width="7" style="88" customWidth="1"/>
    <col min="3" max="3" width="17.5703125" style="88" bestFit="1" customWidth="1"/>
    <col min="4" max="4" width="15.85546875" style="88" hidden="1" customWidth="1"/>
    <col min="5" max="5" width="10.140625" style="88" customWidth="1"/>
    <col min="6" max="6" width="6.42578125" style="88" customWidth="1"/>
    <col min="7" max="8" width="15.28515625" style="88" customWidth="1"/>
    <col min="9" max="9" width="12.28515625" style="88" bestFit="1" customWidth="1"/>
    <col min="10" max="10" width="8.5703125" style="88" customWidth="1"/>
    <col min="11" max="11" width="8.5703125" style="88" bestFit="1" customWidth="1"/>
    <col min="12" max="12" width="7.140625" style="88" bestFit="1" customWidth="1"/>
    <col min="13" max="13" width="14" style="88" bestFit="1" customWidth="1"/>
    <col min="14" max="14" width="16.7109375" style="88" bestFit="1" customWidth="1"/>
    <col min="15" max="16384" width="11.42578125" style="88"/>
  </cols>
  <sheetData>
    <row r="1" spans="2:16" ht="15.75" thickBot="1" x14ac:dyDescent="0.3"/>
    <row r="2" spans="2:16" ht="45.75" thickBot="1" x14ac:dyDescent="0.3">
      <c r="B2" s="89" t="s">
        <v>189</v>
      </c>
      <c r="C2" s="90" t="s">
        <v>327</v>
      </c>
      <c r="D2" s="91" t="s">
        <v>325</v>
      </c>
      <c r="E2" s="92" t="s">
        <v>326</v>
      </c>
      <c r="F2" s="90" t="s">
        <v>114</v>
      </c>
      <c r="G2" s="92" t="s">
        <v>346</v>
      </c>
      <c r="H2" s="92" t="s">
        <v>190</v>
      </c>
      <c r="I2" s="93" t="s">
        <v>196</v>
      </c>
      <c r="J2" s="89" t="s">
        <v>189</v>
      </c>
      <c r="K2" s="94" t="s">
        <v>192</v>
      </c>
      <c r="L2" s="91" t="s">
        <v>114</v>
      </c>
      <c r="M2" s="92" t="s">
        <v>190</v>
      </c>
      <c r="N2" s="93" t="s">
        <v>196</v>
      </c>
    </row>
    <row r="3" spans="2:16" x14ac:dyDescent="0.25">
      <c r="B3" s="95">
        <v>1</v>
      </c>
      <c r="C3" s="96" t="s">
        <v>328</v>
      </c>
      <c r="D3" s="97"/>
      <c r="E3" s="98" t="e">
        <f>+#REF!</f>
        <v>#REF!</v>
      </c>
      <c r="F3" s="96">
        <f>+COSTEO!I5</f>
        <v>11</v>
      </c>
      <c r="G3" s="99" t="e">
        <f>+COSTEO!K94</f>
        <v>#REF!</v>
      </c>
      <c r="H3" s="99" t="e">
        <f>+COSTEO!K96</f>
        <v>#REF!</v>
      </c>
      <c r="I3" s="100" t="e">
        <f>+H3/1.21/F3</f>
        <v>#REF!</v>
      </c>
      <c r="J3" s="499" t="s">
        <v>199</v>
      </c>
      <c r="K3" s="101" t="s">
        <v>193</v>
      </c>
      <c r="L3" s="501">
        <v>12</v>
      </c>
      <c r="M3" s="503" t="e">
        <f>+COSTEO!W96</f>
        <v>#REF!</v>
      </c>
      <c r="N3" s="505" t="e">
        <f>+M3/1.21/L3</f>
        <v>#REF!</v>
      </c>
      <c r="P3" s="102"/>
    </row>
    <row r="4" spans="2:16" x14ac:dyDescent="0.25">
      <c r="B4" s="103">
        <v>2</v>
      </c>
      <c r="C4" s="104" t="s">
        <v>329</v>
      </c>
      <c r="D4" s="105"/>
      <c r="E4" s="106" t="e">
        <f>+#REF!</f>
        <v>#REF!</v>
      </c>
      <c r="F4" s="104">
        <f>+COSTEO!M5</f>
        <v>7</v>
      </c>
      <c r="G4" s="107" t="e">
        <f>+COSTEO!O94</f>
        <v>#REF!</v>
      </c>
      <c r="H4" s="107" t="e">
        <f>+COSTEO!O96</f>
        <v>#REF!</v>
      </c>
      <c r="I4" s="108" t="e">
        <f>+H4/1.21/F4</f>
        <v>#REF!</v>
      </c>
      <c r="J4" s="499"/>
      <c r="K4" s="109" t="s">
        <v>193</v>
      </c>
      <c r="L4" s="501"/>
      <c r="M4" s="503"/>
      <c r="N4" s="505"/>
      <c r="P4" s="102"/>
    </row>
    <row r="5" spans="2:16" x14ac:dyDescent="0.25">
      <c r="B5" s="103">
        <v>3</v>
      </c>
      <c r="C5" s="104" t="s">
        <v>330</v>
      </c>
      <c r="D5" s="105"/>
      <c r="E5" s="106" t="e">
        <f>+#REF!</f>
        <v>#REF!</v>
      </c>
      <c r="F5" s="104">
        <f>+COSTEO!Q5</f>
        <v>9</v>
      </c>
      <c r="G5" s="107" t="e">
        <f>+COSTEO!S94</f>
        <v>#REF!</v>
      </c>
      <c r="H5" s="107" t="e">
        <f>+COSTEO!S96</f>
        <v>#REF!</v>
      </c>
      <c r="I5" s="108" t="e">
        <f>+H5/1.21/F5</f>
        <v>#REF!</v>
      </c>
      <c r="J5" s="499"/>
      <c r="K5" s="109" t="s">
        <v>193</v>
      </c>
      <c r="L5" s="501"/>
      <c r="M5" s="503"/>
      <c r="N5" s="505"/>
      <c r="P5" s="102"/>
    </row>
    <row r="6" spans="2:16" ht="15.75" thickBot="1" x14ac:dyDescent="0.3">
      <c r="B6" s="110">
        <v>4</v>
      </c>
      <c r="C6" s="111" t="s">
        <v>331</v>
      </c>
      <c r="D6" s="112" t="s">
        <v>332</v>
      </c>
      <c r="E6" s="113">
        <f>+'RENGLON 1'!E14</f>
        <v>52</v>
      </c>
      <c r="F6" s="111">
        <f>+COSTEO!E5</f>
        <v>5</v>
      </c>
      <c r="G6" s="114">
        <f>+COSTEO!G94</f>
        <v>4926357.7981651379</v>
      </c>
      <c r="H6" s="114">
        <f>+COSTEO!G96</f>
        <v>5960892.9357798165</v>
      </c>
      <c r="I6" s="115">
        <f>+H6/1.21/F6</f>
        <v>985271.55963302753</v>
      </c>
      <c r="J6" s="500"/>
      <c r="K6" s="116" t="s">
        <v>194</v>
      </c>
      <c r="L6" s="502"/>
      <c r="M6" s="504"/>
      <c r="N6" s="506"/>
      <c r="P6" s="102"/>
    </row>
    <row r="7" spans="2:16" ht="15.75" thickBot="1" x14ac:dyDescent="0.3">
      <c r="E7" s="117" t="e">
        <f>SUM(E3:E6)</f>
        <v>#REF!</v>
      </c>
      <c r="G7" s="118" t="e">
        <f>SUM(G3:G6)</f>
        <v>#REF!</v>
      </c>
      <c r="H7" s="118" t="e">
        <f>SUM(H3:H6)</f>
        <v>#REF!</v>
      </c>
      <c r="M7" s="118" t="e">
        <f>SUM(M3:M6)</f>
        <v>#REF!</v>
      </c>
    </row>
    <row r="8" spans="2:16" ht="15.75" thickBot="1" x14ac:dyDescent="0.3">
      <c r="F8" s="88">
        <f>SUM(F3:F6)</f>
        <v>32</v>
      </c>
    </row>
    <row r="9" spans="2:16" x14ac:dyDescent="0.25">
      <c r="B9" s="507" t="s">
        <v>201</v>
      </c>
      <c r="C9" s="508"/>
      <c r="D9" s="509"/>
      <c r="E9" s="509"/>
      <c r="F9" s="509"/>
      <c r="G9" s="509"/>
      <c r="H9" s="509"/>
      <c r="I9" s="119" t="s">
        <v>200</v>
      </c>
      <c r="J9" s="120" t="e">
        <f>+H7/M7</f>
        <v>#REF!</v>
      </c>
    </row>
    <row r="10" spans="2:16" ht="15.75" thickBot="1" x14ac:dyDescent="0.3">
      <c r="B10" s="510"/>
      <c r="C10" s="511"/>
      <c r="D10" s="512"/>
      <c r="E10" s="512"/>
      <c r="F10" s="512"/>
      <c r="G10" s="512"/>
      <c r="H10" s="512"/>
      <c r="I10" s="116" t="s">
        <v>191</v>
      </c>
      <c r="J10" s="121">
        <f>+F8/L3</f>
        <v>2.6666666666666665</v>
      </c>
      <c r="L10" s="102"/>
    </row>
    <row r="12" spans="2:16" x14ac:dyDescent="0.25">
      <c r="K12" s="109" t="s">
        <v>279</v>
      </c>
      <c r="L12" s="109" t="s">
        <v>278</v>
      </c>
      <c r="M12" s="109" t="s">
        <v>255</v>
      </c>
      <c r="N12" s="109" t="s">
        <v>319</v>
      </c>
    </row>
    <row r="13" spans="2:16" x14ac:dyDescent="0.25">
      <c r="B13" s="88" t="s">
        <v>204</v>
      </c>
      <c r="K13" s="122"/>
      <c r="L13" s="123">
        <v>42248</v>
      </c>
      <c r="M13" s="124">
        <v>9659076.2100000009</v>
      </c>
      <c r="N13" s="124">
        <f>+SUM(Hoja1!F23:F29)</f>
        <v>7540000</v>
      </c>
      <c r="P13" s="102"/>
    </row>
    <row r="14" spans="2:16" x14ac:dyDescent="0.25">
      <c r="K14" s="125">
        <f>+'Nivel general y capítulos'!P11/100+1</f>
        <v>1.4133095994723452</v>
      </c>
      <c r="L14" s="123">
        <v>42675</v>
      </c>
      <c r="M14" s="126">
        <f>+M13*K14</f>
        <v>13651265.12962796</v>
      </c>
      <c r="N14" s="126">
        <f>+N13*K14</f>
        <v>10656354.380021483</v>
      </c>
    </row>
    <row r="15" spans="2:16" x14ac:dyDescent="0.25">
      <c r="M15" s="102" t="e">
        <f>+M7/M14</f>
        <v>#REF!</v>
      </c>
      <c r="N15" s="102" t="e">
        <f>+M7/N14</f>
        <v>#REF!</v>
      </c>
    </row>
  </sheetData>
  <mergeCells count="5">
    <mergeCell ref="J3:J6"/>
    <mergeCell ref="L3:L6"/>
    <mergeCell ref="M3:M6"/>
    <mergeCell ref="N3:N6"/>
    <mergeCell ref="B9:H10"/>
  </mergeCells>
  <pageMargins left="0.7" right="0.7" top="0.75" bottom="0.75" header="0.3" footer="0.3"/>
  <pageSetup paperSize="9" orientation="portrait" verticalDpi="0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36"/>
  <sheetViews>
    <sheetView topLeftCell="A7" workbookViewId="0">
      <selection sqref="A1:XFD1048576"/>
    </sheetView>
  </sheetViews>
  <sheetFormatPr baseColWidth="10" defaultColWidth="11.42578125" defaultRowHeight="15" x14ac:dyDescent="0.25"/>
  <cols>
    <col min="1" max="1" width="4.85546875" style="88" customWidth="1"/>
    <col min="2" max="2" width="31.140625" style="88" customWidth="1"/>
    <col min="3" max="3" width="53.28515625" style="88" bestFit="1" customWidth="1"/>
    <col min="4" max="4" width="29.5703125" style="88" bestFit="1" customWidth="1"/>
    <col min="5" max="5" width="8.7109375" style="128" bestFit="1" customWidth="1"/>
    <col min="6" max="6" width="15.5703125" style="88" bestFit="1" customWidth="1"/>
    <col min="7" max="8" width="15.5703125" style="88" customWidth="1"/>
    <col min="9" max="9" width="13" style="88" bestFit="1" customWidth="1"/>
    <col min="10" max="10" width="5.5703125" style="88" bestFit="1" customWidth="1"/>
    <col min="11" max="16384" width="11.42578125" style="88"/>
  </cols>
  <sheetData>
    <row r="2" spans="2:11" x14ac:dyDescent="0.25">
      <c r="B2" s="127" t="s">
        <v>253</v>
      </c>
    </row>
    <row r="4" spans="2:11" s="130" customFormat="1" ht="29.25" customHeight="1" x14ac:dyDescent="0.25">
      <c r="B4" s="129" t="s">
        <v>252</v>
      </c>
      <c r="C4" s="129" t="s">
        <v>251</v>
      </c>
      <c r="D4" s="129" t="s">
        <v>250</v>
      </c>
      <c r="E4" s="129" t="s">
        <v>107</v>
      </c>
      <c r="F4" s="129" t="s">
        <v>317</v>
      </c>
      <c r="G4" s="129" t="s">
        <v>249</v>
      </c>
      <c r="H4" s="129" t="s">
        <v>248</v>
      </c>
      <c r="I4" s="129" t="s">
        <v>247</v>
      </c>
    </row>
    <row r="5" spans="2:11" s="135" customFormat="1" x14ac:dyDescent="0.25">
      <c r="B5" s="131" t="s">
        <v>246</v>
      </c>
      <c r="C5" s="131" t="s">
        <v>245</v>
      </c>
      <c r="D5" s="131" t="s">
        <v>244</v>
      </c>
      <c r="E5" s="132">
        <v>90</v>
      </c>
      <c r="F5" s="133">
        <v>1974606</v>
      </c>
      <c r="G5" s="133"/>
      <c r="H5" s="134"/>
      <c r="I5" s="134">
        <f t="shared" ref="I5:I22" si="0">+F5/E5*30</f>
        <v>658202</v>
      </c>
    </row>
    <row r="6" spans="2:11" s="135" customFormat="1" x14ac:dyDescent="0.25">
      <c r="B6" s="131" t="s">
        <v>243</v>
      </c>
      <c r="C6" s="131" t="s">
        <v>242</v>
      </c>
      <c r="D6" s="131" t="s">
        <v>241</v>
      </c>
      <c r="E6" s="132">
        <v>180</v>
      </c>
      <c r="F6" s="133">
        <v>7547421</v>
      </c>
      <c r="G6" s="133"/>
      <c r="H6" s="134"/>
      <c r="I6" s="134">
        <f t="shared" si="0"/>
        <v>1257903.5</v>
      </c>
    </row>
    <row r="7" spans="2:11" s="135" customFormat="1" ht="30" x14ac:dyDescent="0.25">
      <c r="B7" s="131" t="s">
        <v>240</v>
      </c>
      <c r="C7" s="136" t="s">
        <v>239</v>
      </c>
      <c r="D7" s="131" t="s">
        <v>238</v>
      </c>
      <c r="E7" s="132">
        <v>120</v>
      </c>
      <c r="F7" s="133">
        <v>9163136.3000000007</v>
      </c>
      <c r="G7" s="133"/>
      <c r="H7" s="134"/>
      <c r="I7" s="134">
        <f t="shared" si="0"/>
        <v>2290784.0750000002</v>
      </c>
    </row>
    <row r="8" spans="2:11" s="135" customFormat="1" ht="30" x14ac:dyDescent="0.25">
      <c r="B8" s="131" t="s">
        <v>237</v>
      </c>
      <c r="C8" s="136" t="s">
        <v>236</v>
      </c>
      <c r="D8" s="131" t="s">
        <v>235</v>
      </c>
      <c r="E8" s="132">
        <v>60</v>
      </c>
      <c r="F8" s="133">
        <v>459043</v>
      </c>
      <c r="G8" s="133"/>
      <c r="H8" s="134"/>
      <c r="I8" s="134">
        <f t="shared" si="0"/>
        <v>229521.5</v>
      </c>
    </row>
    <row r="9" spans="2:11" s="135" customFormat="1" x14ac:dyDescent="0.25">
      <c r="B9" s="131" t="s">
        <v>234</v>
      </c>
      <c r="C9" s="131" t="s">
        <v>233</v>
      </c>
      <c r="D9" s="131" t="s">
        <v>224</v>
      </c>
      <c r="E9" s="132">
        <v>180</v>
      </c>
      <c r="F9" s="133">
        <v>6310055</v>
      </c>
      <c r="G9" s="133"/>
      <c r="H9" s="134"/>
      <c r="I9" s="134">
        <f t="shared" si="0"/>
        <v>1051675.8333333333</v>
      </c>
    </row>
    <row r="10" spans="2:11" s="135" customFormat="1" x14ac:dyDescent="0.25">
      <c r="B10" s="131" t="s">
        <v>232</v>
      </c>
      <c r="C10" s="131" t="s">
        <v>231</v>
      </c>
      <c r="D10" s="131" t="s">
        <v>224</v>
      </c>
      <c r="E10" s="132">
        <v>240</v>
      </c>
      <c r="F10" s="133">
        <v>18027219</v>
      </c>
      <c r="G10" s="133"/>
      <c r="H10" s="134"/>
      <c r="I10" s="134">
        <f t="shared" si="0"/>
        <v>2253402.375</v>
      </c>
    </row>
    <row r="11" spans="2:11" s="135" customFormat="1" x14ac:dyDescent="0.25">
      <c r="B11" s="131" t="s">
        <v>230</v>
      </c>
      <c r="C11" s="131" t="s">
        <v>229</v>
      </c>
      <c r="D11" s="131" t="s">
        <v>224</v>
      </c>
      <c r="E11" s="132">
        <v>240</v>
      </c>
      <c r="F11" s="133">
        <v>17579805</v>
      </c>
      <c r="G11" s="133"/>
      <c r="H11" s="134"/>
      <c r="I11" s="134">
        <f t="shared" si="0"/>
        <v>2197475.625</v>
      </c>
    </row>
    <row r="12" spans="2:11" s="135" customFormat="1" x14ac:dyDescent="0.25">
      <c r="B12" s="131" t="s">
        <v>228</v>
      </c>
      <c r="C12" s="131" t="s">
        <v>227</v>
      </c>
      <c r="D12" s="131" t="s">
        <v>224</v>
      </c>
      <c r="E12" s="132">
        <v>180</v>
      </c>
      <c r="F12" s="133">
        <v>6808420</v>
      </c>
      <c r="G12" s="133"/>
      <c r="H12" s="134"/>
      <c r="I12" s="134">
        <f t="shared" si="0"/>
        <v>1134736.6666666667</v>
      </c>
    </row>
    <row r="13" spans="2:11" s="135" customFormat="1" x14ac:dyDescent="0.25">
      <c r="B13" s="131" t="s">
        <v>226</v>
      </c>
      <c r="C13" s="131" t="s">
        <v>225</v>
      </c>
      <c r="D13" s="131" t="s">
        <v>224</v>
      </c>
      <c r="E13" s="132">
        <v>180</v>
      </c>
      <c r="F13" s="133">
        <v>4954105</v>
      </c>
      <c r="G13" s="133"/>
      <c r="H13" s="134"/>
      <c r="I13" s="134">
        <f t="shared" si="0"/>
        <v>825684.16666666663</v>
      </c>
    </row>
    <row r="14" spans="2:11" s="135" customFormat="1" x14ac:dyDescent="0.25">
      <c r="B14" s="131" t="s">
        <v>223</v>
      </c>
      <c r="C14" s="131" t="s">
        <v>222</v>
      </c>
      <c r="D14" s="131" t="s">
        <v>219</v>
      </c>
      <c r="E14" s="132">
        <v>120</v>
      </c>
      <c r="F14" s="133">
        <v>2068319</v>
      </c>
      <c r="G14" s="133"/>
      <c r="H14" s="134"/>
      <c r="I14" s="134">
        <f t="shared" si="0"/>
        <v>517079.74999999994</v>
      </c>
    </row>
    <row r="15" spans="2:11" s="135" customFormat="1" x14ac:dyDescent="0.25">
      <c r="B15" s="131" t="s">
        <v>221</v>
      </c>
      <c r="C15" s="131" t="s">
        <v>220</v>
      </c>
      <c r="D15" s="131" t="s">
        <v>219</v>
      </c>
      <c r="E15" s="132">
        <v>120</v>
      </c>
      <c r="F15" s="133">
        <v>2396000</v>
      </c>
      <c r="G15" s="133"/>
      <c r="H15" s="134"/>
      <c r="I15" s="134">
        <f t="shared" si="0"/>
        <v>599000</v>
      </c>
    </row>
    <row r="16" spans="2:11" x14ac:dyDescent="0.25">
      <c r="B16" s="131" t="s">
        <v>218</v>
      </c>
      <c r="C16" s="122"/>
      <c r="D16" s="122" t="s">
        <v>217</v>
      </c>
      <c r="E16" s="132">
        <v>150</v>
      </c>
      <c r="F16" s="133" t="e">
        <f>+Resumen!H3</f>
        <v>#REF!</v>
      </c>
      <c r="G16" s="133" t="e">
        <f t="shared" ref="G16:G22" si="1">+F16</f>
        <v>#REF!</v>
      </c>
      <c r="H16" s="513" t="e">
        <f>SUM(F16:F22)</f>
        <v>#REF!</v>
      </c>
      <c r="I16" s="134" t="e">
        <f t="shared" si="0"/>
        <v>#REF!</v>
      </c>
      <c r="J16" s="137" t="e">
        <f t="shared" ref="J16:J22" si="2">+I16/I23-1</f>
        <v>#REF!</v>
      </c>
      <c r="K16" s="138"/>
    </row>
    <row r="17" spans="2:11" x14ac:dyDescent="0.25">
      <c r="B17" s="131" t="s">
        <v>216</v>
      </c>
      <c r="C17" s="122"/>
      <c r="D17" s="122" t="s">
        <v>215</v>
      </c>
      <c r="E17" s="132">
        <v>180</v>
      </c>
      <c r="F17" s="133" t="e">
        <f>+Resumen!#REF!</f>
        <v>#REF!</v>
      </c>
      <c r="G17" s="133" t="e">
        <f t="shared" si="1"/>
        <v>#REF!</v>
      </c>
      <c r="H17" s="513"/>
      <c r="I17" s="134" t="e">
        <f t="shared" si="0"/>
        <v>#REF!</v>
      </c>
      <c r="J17" s="137" t="e">
        <f t="shared" si="2"/>
        <v>#REF!</v>
      </c>
      <c r="K17" s="138"/>
    </row>
    <row r="18" spans="2:11" x14ac:dyDescent="0.25">
      <c r="B18" s="131" t="s">
        <v>214</v>
      </c>
      <c r="C18" s="122"/>
      <c r="D18" s="122" t="s">
        <v>213</v>
      </c>
      <c r="E18" s="132">
        <v>90</v>
      </c>
      <c r="F18" s="133" t="e">
        <f>+Resumen!H4</f>
        <v>#REF!</v>
      </c>
      <c r="G18" s="133" t="e">
        <f t="shared" si="1"/>
        <v>#REF!</v>
      </c>
      <c r="H18" s="513"/>
      <c r="I18" s="134" t="e">
        <f t="shared" si="0"/>
        <v>#REF!</v>
      </c>
      <c r="J18" s="137" t="e">
        <f t="shared" si="2"/>
        <v>#REF!</v>
      </c>
      <c r="K18" s="138"/>
    </row>
    <row r="19" spans="2:11" x14ac:dyDescent="0.25">
      <c r="B19" s="131" t="s">
        <v>212</v>
      </c>
      <c r="C19" s="122"/>
      <c r="D19" s="122" t="s">
        <v>211</v>
      </c>
      <c r="E19" s="132">
        <v>120</v>
      </c>
      <c r="F19" s="133" t="e">
        <f>+Resumen!#REF!</f>
        <v>#REF!</v>
      </c>
      <c r="G19" s="133" t="e">
        <f t="shared" si="1"/>
        <v>#REF!</v>
      </c>
      <c r="H19" s="513"/>
      <c r="I19" s="134" t="e">
        <f t="shared" si="0"/>
        <v>#REF!</v>
      </c>
      <c r="J19" s="137" t="e">
        <f t="shared" si="2"/>
        <v>#REF!</v>
      </c>
      <c r="K19" s="138"/>
    </row>
    <row r="20" spans="2:11" x14ac:dyDescent="0.25">
      <c r="B20" s="131" t="s">
        <v>210</v>
      </c>
      <c r="C20" s="122"/>
      <c r="D20" s="122" t="s">
        <v>209</v>
      </c>
      <c r="E20" s="132">
        <v>150</v>
      </c>
      <c r="F20" s="133" t="e">
        <f>+Resumen!H5</f>
        <v>#REF!</v>
      </c>
      <c r="G20" s="133" t="e">
        <f t="shared" si="1"/>
        <v>#REF!</v>
      </c>
      <c r="H20" s="513"/>
      <c r="I20" s="134" t="e">
        <f t="shared" si="0"/>
        <v>#REF!</v>
      </c>
      <c r="J20" s="137" t="e">
        <f t="shared" si="2"/>
        <v>#REF!</v>
      </c>
      <c r="K20" s="138"/>
    </row>
    <row r="21" spans="2:11" x14ac:dyDescent="0.25">
      <c r="B21" s="131" t="s">
        <v>208</v>
      </c>
      <c r="C21" s="122"/>
      <c r="D21" s="122" t="s">
        <v>207</v>
      </c>
      <c r="E21" s="132">
        <v>120</v>
      </c>
      <c r="F21" s="133" t="e">
        <f>+Resumen!#REF!</f>
        <v>#REF!</v>
      </c>
      <c r="G21" s="133" t="e">
        <f t="shared" si="1"/>
        <v>#REF!</v>
      </c>
      <c r="H21" s="513"/>
      <c r="I21" s="134" t="e">
        <f t="shared" si="0"/>
        <v>#REF!</v>
      </c>
      <c r="J21" s="137" t="e">
        <f t="shared" si="2"/>
        <v>#REF!</v>
      </c>
      <c r="K21" s="138"/>
    </row>
    <row r="22" spans="2:11" x14ac:dyDescent="0.25">
      <c r="B22" s="131" t="s">
        <v>206</v>
      </c>
      <c r="C22" s="122"/>
      <c r="D22" s="122" t="s">
        <v>205</v>
      </c>
      <c r="E22" s="132">
        <v>150</v>
      </c>
      <c r="F22" s="133">
        <f>+Resumen!H6</f>
        <v>5960892.9357798165</v>
      </c>
      <c r="G22" s="133">
        <f t="shared" si="1"/>
        <v>5960892.9357798165</v>
      </c>
      <c r="H22" s="513"/>
      <c r="I22" s="134">
        <f t="shared" si="0"/>
        <v>1192178.5871559633</v>
      </c>
      <c r="J22" s="137">
        <f t="shared" si="2"/>
        <v>2.6391287764223543</v>
      </c>
      <c r="K22" s="138"/>
    </row>
    <row r="23" spans="2:11" x14ac:dyDescent="0.25">
      <c r="B23" s="131" t="s">
        <v>316</v>
      </c>
      <c r="C23" s="122"/>
      <c r="D23" s="122"/>
      <c r="E23" s="132">
        <v>150</v>
      </c>
      <c r="F23" s="133">
        <v>550000</v>
      </c>
      <c r="G23" s="133">
        <f t="shared" ref="G23:G29" si="3">+F23*1.3*1.2</f>
        <v>858000</v>
      </c>
      <c r="H23" s="513">
        <f>SUM(G23:G29)</f>
        <v>11762400</v>
      </c>
      <c r="I23" s="134">
        <f t="shared" ref="I23:I29" si="4">+G23/E23*30</f>
        <v>171600</v>
      </c>
      <c r="J23" s="138"/>
    </row>
    <row r="24" spans="2:11" x14ac:dyDescent="0.25">
      <c r="B24" s="131" t="s">
        <v>316</v>
      </c>
      <c r="C24" s="122"/>
      <c r="D24" s="122"/>
      <c r="E24" s="132">
        <v>180</v>
      </c>
      <c r="F24" s="133">
        <v>1800000</v>
      </c>
      <c r="G24" s="133">
        <f t="shared" si="3"/>
        <v>2808000</v>
      </c>
      <c r="H24" s="513"/>
      <c r="I24" s="134">
        <f t="shared" si="4"/>
        <v>468000</v>
      </c>
      <c r="J24" s="138"/>
      <c r="K24" s="138"/>
    </row>
    <row r="25" spans="2:11" x14ac:dyDescent="0.25">
      <c r="B25" s="131" t="s">
        <v>316</v>
      </c>
      <c r="C25" s="122"/>
      <c r="D25" s="122"/>
      <c r="E25" s="132">
        <v>90</v>
      </c>
      <c r="F25" s="133">
        <v>700000</v>
      </c>
      <c r="G25" s="133">
        <f t="shared" si="3"/>
        <v>1092000</v>
      </c>
      <c r="H25" s="513"/>
      <c r="I25" s="134">
        <f t="shared" si="4"/>
        <v>364000</v>
      </c>
      <c r="J25" s="138"/>
    </row>
    <row r="26" spans="2:11" x14ac:dyDescent="0.25">
      <c r="B26" s="131" t="s">
        <v>316</v>
      </c>
      <c r="C26" s="122"/>
      <c r="D26" s="122"/>
      <c r="E26" s="132">
        <v>120</v>
      </c>
      <c r="F26" s="133">
        <v>1200000</v>
      </c>
      <c r="G26" s="133">
        <f t="shared" si="3"/>
        <v>1872000</v>
      </c>
      <c r="H26" s="513"/>
      <c r="I26" s="134">
        <f t="shared" si="4"/>
        <v>468000</v>
      </c>
      <c r="J26" s="138"/>
    </row>
    <row r="27" spans="2:11" x14ac:dyDescent="0.25">
      <c r="B27" s="131" t="s">
        <v>316</v>
      </c>
      <c r="C27" s="122"/>
      <c r="D27" s="122"/>
      <c r="E27" s="132">
        <v>150</v>
      </c>
      <c r="F27" s="133">
        <v>1450000</v>
      </c>
      <c r="G27" s="133">
        <f t="shared" si="3"/>
        <v>2262000</v>
      </c>
      <c r="H27" s="513"/>
      <c r="I27" s="134">
        <f t="shared" si="4"/>
        <v>452400</v>
      </c>
      <c r="J27" s="138"/>
    </row>
    <row r="28" spans="2:11" x14ac:dyDescent="0.25">
      <c r="B28" s="131" t="s">
        <v>316</v>
      </c>
      <c r="C28" s="122"/>
      <c r="D28" s="122"/>
      <c r="E28" s="132">
        <v>120</v>
      </c>
      <c r="F28" s="133">
        <v>790000</v>
      </c>
      <c r="G28" s="133">
        <f t="shared" si="3"/>
        <v>1232400</v>
      </c>
      <c r="H28" s="513"/>
      <c r="I28" s="134">
        <f t="shared" si="4"/>
        <v>308100</v>
      </c>
      <c r="J28" s="138"/>
    </row>
    <row r="29" spans="2:11" x14ac:dyDescent="0.25">
      <c r="B29" s="131" t="s">
        <v>316</v>
      </c>
      <c r="C29" s="122"/>
      <c r="D29" s="122"/>
      <c r="E29" s="132">
        <v>150</v>
      </c>
      <c r="F29" s="133">
        <v>1050000</v>
      </c>
      <c r="G29" s="133">
        <f t="shared" si="3"/>
        <v>1638000</v>
      </c>
      <c r="H29" s="513"/>
      <c r="I29" s="134">
        <f t="shared" si="4"/>
        <v>327600</v>
      </c>
      <c r="J29" s="138"/>
    </row>
    <row r="30" spans="2:11" x14ac:dyDescent="0.25">
      <c r="B30" s="131" t="s">
        <v>318</v>
      </c>
      <c r="C30" s="122"/>
      <c r="D30" s="122"/>
      <c r="E30" s="132">
        <v>150</v>
      </c>
      <c r="F30" s="133">
        <v>698894.79</v>
      </c>
      <c r="G30" s="133">
        <f>+F30*Resumen!$K$14</f>
        <v>987754.71572820889</v>
      </c>
      <c r="H30" s="513">
        <f>SUM(G30:G36)</f>
        <v>13647025.186696446</v>
      </c>
      <c r="I30" s="134">
        <f t="shared" ref="I30:I36" si="5">+G30/E30*30</f>
        <v>197550.94314564177</v>
      </c>
      <c r="J30" s="138"/>
    </row>
    <row r="31" spans="2:11" x14ac:dyDescent="0.25">
      <c r="B31" s="131" t="s">
        <v>318</v>
      </c>
      <c r="C31" s="122"/>
      <c r="D31" s="122"/>
      <c r="E31" s="132">
        <v>180</v>
      </c>
      <c r="F31" s="133">
        <v>2525992.61</v>
      </c>
      <c r="G31" s="133">
        <f>+F31*Resumen!$K$14</f>
        <v>3570009.6039092038</v>
      </c>
      <c r="H31" s="513"/>
      <c r="I31" s="134">
        <f t="shared" si="5"/>
        <v>595001.60065153392</v>
      </c>
      <c r="J31" s="138"/>
      <c r="K31" s="138"/>
    </row>
    <row r="32" spans="2:11" x14ac:dyDescent="0.25">
      <c r="B32" s="131" t="s">
        <v>318</v>
      </c>
      <c r="C32" s="122"/>
      <c r="D32" s="122"/>
      <c r="E32" s="132">
        <v>90</v>
      </c>
      <c r="F32" s="133">
        <v>995363.06</v>
      </c>
      <c r="G32" s="133">
        <f>+F32*Resumen!$K$14</f>
        <v>1406756.1676581681</v>
      </c>
      <c r="H32" s="513"/>
      <c r="I32" s="134">
        <f t="shared" si="5"/>
        <v>468918.72255272267</v>
      </c>
      <c r="J32" s="138"/>
    </row>
    <row r="33" spans="2:10" x14ac:dyDescent="0.25">
      <c r="B33" s="131" t="s">
        <v>318</v>
      </c>
      <c r="C33" s="122"/>
      <c r="D33" s="122"/>
      <c r="E33" s="132">
        <v>120</v>
      </c>
      <c r="F33" s="133">
        <v>1407133.2</v>
      </c>
      <c r="G33" s="133">
        <f>+F33*Resumen!$K$14</f>
        <v>1988714.8592962394</v>
      </c>
      <c r="H33" s="513"/>
      <c r="I33" s="134">
        <f t="shared" si="5"/>
        <v>497178.71482405986</v>
      </c>
      <c r="J33" s="138"/>
    </row>
    <row r="34" spans="2:10" x14ac:dyDescent="0.25">
      <c r="B34" s="131" t="s">
        <v>318</v>
      </c>
      <c r="C34" s="122"/>
      <c r="D34" s="122"/>
      <c r="E34" s="132">
        <v>150</v>
      </c>
      <c r="F34" s="133">
        <v>1535228.64</v>
      </c>
      <c r="G34" s="133">
        <f>+F34*Resumen!$K$14</f>
        <v>2169753.3742968733</v>
      </c>
      <c r="H34" s="513"/>
      <c r="I34" s="134">
        <f t="shared" si="5"/>
        <v>433950.67485937465</v>
      </c>
      <c r="J34" s="138"/>
    </row>
    <row r="35" spans="2:10" x14ac:dyDescent="0.25">
      <c r="B35" s="131" t="s">
        <v>318</v>
      </c>
      <c r="C35" s="122"/>
      <c r="D35" s="122"/>
      <c r="E35" s="132">
        <v>120</v>
      </c>
      <c r="F35" s="133">
        <v>1006716.37</v>
      </c>
      <c r="G35" s="133">
        <f>+F35*Resumen!$K$14</f>
        <v>1422801.9096669534</v>
      </c>
      <c r="H35" s="513"/>
      <c r="I35" s="134">
        <f t="shared" si="5"/>
        <v>355700.47741673834</v>
      </c>
      <c r="J35" s="138"/>
    </row>
    <row r="36" spans="2:10" x14ac:dyDescent="0.25">
      <c r="B36" s="131" t="s">
        <v>318</v>
      </c>
      <c r="C36" s="122"/>
      <c r="D36" s="122"/>
      <c r="E36" s="132">
        <v>150</v>
      </c>
      <c r="F36" s="133">
        <v>1486747.53</v>
      </c>
      <c r="G36" s="133">
        <f>+F36*Resumen!$K$14</f>
        <v>2101234.5561407986</v>
      </c>
      <c r="H36" s="513"/>
      <c r="I36" s="134">
        <f t="shared" si="5"/>
        <v>420246.91122815973</v>
      </c>
      <c r="J36" s="138"/>
    </row>
  </sheetData>
  <mergeCells count="3">
    <mergeCell ref="H16:H22"/>
    <mergeCell ref="H23:H29"/>
    <mergeCell ref="H30:H36"/>
  </mergeCells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P15"/>
  <sheetViews>
    <sheetView showGridLines="0" workbookViewId="0">
      <selection sqref="A1:XFD1048576"/>
    </sheetView>
  </sheetViews>
  <sheetFormatPr baseColWidth="10" defaultColWidth="7.7109375" defaultRowHeight="12.75" x14ac:dyDescent="0.2"/>
  <cols>
    <col min="1" max="1" width="28" style="141" customWidth="1"/>
    <col min="2" max="2" width="8.28515625" style="141" bestFit="1" customWidth="1"/>
    <col min="3" max="3" width="6.7109375" style="141" customWidth="1"/>
    <col min="4" max="4" width="1.7109375" style="141" customWidth="1"/>
    <col min="5" max="5" width="7.42578125" style="141" customWidth="1"/>
    <col min="6" max="6" width="7.28515625" style="141" customWidth="1"/>
    <col min="7" max="7" width="7.85546875" style="141" customWidth="1"/>
    <col min="8" max="11" width="7" style="141" customWidth="1"/>
    <col min="12" max="12" width="8.42578125" style="141" customWidth="1"/>
    <col min="13" max="13" width="9.28515625" style="141" customWidth="1"/>
    <col min="14" max="14" width="8.42578125" style="141" bestFit="1" customWidth="1"/>
    <col min="15" max="256" width="7.7109375" style="141"/>
    <col min="257" max="257" width="28" style="141" customWidth="1"/>
    <col min="258" max="258" width="8.28515625" style="141" bestFit="1" customWidth="1"/>
    <col min="259" max="259" width="6.7109375" style="141" customWidth="1"/>
    <col min="260" max="260" width="1.7109375" style="141" customWidth="1"/>
    <col min="261" max="261" width="7.42578125" style="141" customWidth="1"/>
    <col min="262" max="262" width="7.28515625" style="141" customWidth="1"/>
    <col min="263" max="263" width="7.85546875" style="141" customWidth="1"/>
    <col min="264" max="267" width="7" style="141" customWidth="1"/>
    <col min="268" max="268" width="8.42578125" style="141" customWidth="1"/>
    <col min="269" max="269" width="9.28515625" style="141" customWidth="1"/>
    <col min="270" max="270" width="8.42578125" style="141" bestFit="1" customWidth="1"/>
    <col min="271" max="512" width="7.7109375" style="141"/>
    <col min="513" max="513" width="28" style="141" customWidth="1"/>
    <col min="514" max="514" width="8.28515625" style="141" bestFit="1" customWidth="1"/>
    <col min="515" max="515" width="6.7109375" style="141" customWidth="1"/>
    <col min="516" max="516" width="1.7109375" style="141" customWidth="1"/>
    <col min="517" max="517" width="7.42578125" style="141" customWidth="1"/>
    <col min="518" max="518" width="7.28515625" style="141" customWidth="1"/>
    <col min="519" max="519" width="7.85546875" style="141" customWidth="1"/>
    <col min="520" max="523" width="7" style="141" customWidth="1"/>
    <col min="524" max="524" width="8.42578125" style="141" customWidth="1"/>
    <col min="525" max="525" width="9.28515625" style="141" customWidth="1"/>
    <col min="526" max="526" width="8.42578125" style="141" bestFit="1" customWidth="1"/>
    <col min="527" max="768" width="7.7109375" style="141"/>
    <col min="769" max="769" width="28" style="141" customWidth="1"/>
    <col min="770" max="770" width="8.28515625" style="141" bestFit="1" customWidth="1"/>
    <col min="771" max="771" width="6.7109375" style="141" customWidth="1"/>
    <col min="772" max="772" width="1.7109375" style="141" customWidth="1"/>
    <col min="773" max="773" width="7.42578125" style="141" customWidth="1"/>
    <col min="774" max="774" width="7.28515625" style="141" customWidth="1"/>
    <col min="775" max="775" width="7.85546875" style="141" customWidth="1"/>
    <col min="776" max="779" width="7" style="141" customWidth="1"/>
    <col min="780" max="780" width="8.42578125" style="141" customWidth="1"/>
    <col min="781" max="781" width="9.28515625" style="141" customWidth="1"/>
    <col min="782" max="782" width="8.42578125" style="141" bestFit="1" customWidth="1"/>
    <col min="783" max="1024" width="7.7109375" style="141"/>
    <col min="1025" max="1025" width="28" style="141" customWidth="1"/>
    <col min="1026" max="1026" width="8.28515625" style="141" bestFit="1" customWidth="1"/>
    <col min="1027" max="1027" width="6.7109375" style="141" customWidth="1"/>
    <col min="1028" max="1028" width="1.7109375" style="141" customWidth="1"/>
    <col min="1029" max="1029" width="7.42578125" style="141" customWidth="1"/>
    <col min="1030" max="1030" width="7.28515625" style="141" customWidth="1"/>
    <col min="1031" max="1031" width="7.85546875" style="141" customWidth="1"/>
    <col min="1032" max="1035" width="7" style="141" customWidth="1"/>
    <col min="1036" max="1036" width="8.42578125" style="141" customWidth="1"/>
    <col min="1037" max="1037" width="9.28515625" style="141" customWidth="1"/>
    <col min="1038" max="1038" width="8.42578125" style="141" bestFit="1" customWidth="1"/>
    <col min="1039" max="1280" width="7.7109375" style="141"/>
    <col min="1281" max="1281" width="28" style="141" customWidth="1"/>
    <col min="1282" max="1282" width="8.28515625" style="141" bestFit="1" customWidth="1"/>
    <col min="1283" max="1283" width="6.7109375" style="141" customWidth="1"/>
    <col min="1284" max="1284" width="1.7109375" style="141" customWidth="1"/>
    <col min="1285" max="1285" width="7.42578125" style="141" customWidth="1"/>
    <col min="1286" max="1286" width="7.28515625" style="141" customWidth="1"/>
    <col min="1287" max="1287" width="7.85546875" style="141" customWidth="1"/>
    <col min="1288" max="1291" width="7" style="141" customWidth="1"/>
    <col min="1292" max="1292" width="8.42578125" style="141" customWidth="1"/>
    <col min="1293" max="1293" width="9.28515625" style="141" customWidth="1"/>
    <col min="1294" max="1294" width="8.42578125" style="141" bestFit="1" customWidth="1"/>
    <col min="1295" max="1536" width="7.7109375" style="141"/>
    <col min="1537" max="1537" width="28" style="141" customWidth="1"/>
    <col min="1538" max="1538" width="8.28515625" style="141" bestFit="1" customWidth="1"/>
    <col min="1539" max="1539" width="6.7109375" style="141" customWidth="1"/>
    <col min="1540" max="1540" width="1.7109375" style="141" customWidth="1"/>
    <col min="1541" max="1541" width="7.42578125" style="141" customWidth="1"/>
    <col min="1542" max="1542" width="7.28515625" style="141" customWidth="1"/>
    <col min="1543" max="1543" width="7.85546875" style="141" customWidth="1"/>
    <col min="1544" max="1547" width="7" style="141" customWidth="1"/>
    <col min="1548" max="1548" width="8.42578125" style="141" customWidth="1"/>
    <col min="1549" max="1549" width="9.28515625" style="141" customWidth="1"/>
    <col min="1550" max="1550" width="8.42578125" style="141" bestFit="1" customWidth="1"/>
    <col min="1551" max="1792" width="7.7109375" style="141"/>
    <col min="1793" max="1793" width="28" style="141" customWidth="1"/>
    <col min="1794" max="1794" width="8.28515625" style="141" bestFit="1" customWidth="1"/>
    <col min="1795" max="1795" width="6.7109375" style="141" customWidth="1"/>
    <col min="1796" max="1796" width="1.7109375" style="141" customWidth="1"/>
    <col min="1797" max="1797" width="7.42578125" style="141" customWidth="1"/>
    <col min="1798" max="1798" width="7.28515625" style="141" customWidth="1"/>
    <col min="1799" max="1799" width="7.85546875" style="141" customWidth="1"/>
    <col min="1800" max="1803" width="7" style="141" customWidth="1"/>
    <col min="1804" max="1804" width="8.42578125" style="141" customWidth="1"/>
    <col min="1805" max="1805" width="9.28515625" style="141" customWidth="1"/>
    <col min="1806" max="1806" width="8.42578125" style="141" bestFit="1" customWidth="1"/>
    <col min="1807" max="2048" width="7.7109375" style="141"/>
    <col min="2049" max="2049" width="28" style="141" customWidth="1"/>
    <col min="2050" max="2050" width="8.28515625" style="141" bestFit="1" customWidth="1"/>
    <col min="2051" max="2051" width="6.7109375" style="141" customWidth="1"/>
    <col min="2052" max="2052" width="1.7109375" style="141" customWidth="1"/>
    <col min="2053" max="2053" width="7.42578125" style="141" customWidth="1"/>
    <col min="2054" max="2054" width="7.28515625" style="141" customWidth="1"/>
    <col min="2055" max="2055" width="7.85546875" style="141" customWidth="1"/>
    <col min="2056" max="2059" width="7" style="141" customWidth="1"/>
    <col min="2060" max="2060" width="8.42578125" style="141" customWidth="1"/>
    <col min="2061" max="2061" width="9.28515625" style="141" customWidth="1"/>
    <col min="2062" max="2062" width="8.42578125" style="141" bestFit="1" customWidth="1"/>
    <col min="2063" max="2304" width="7.7109375" style="141"/>
    <col min="2305" max="2305" width="28" style="141" customWidth="1"/>
    <col min="2306" max="2306" width="8.28515625" style="141" bestFit="1" customWidth="1"/>
    <col min="2307" max="2307" width="6.7109375" style="141" customWidth="1"/>
    <col min="2308" max="2308" width="1.7109375" style="141" customWidth="1"/>
    <col min="2309" max="2309" width="7.42578125" style="141" customWidth="1"/>
    <col min="2310" max="2310" width="7.28515625" style="141" customWidth="1"/>
    <col min="2311" max="2311" width="7.85546875" style="141" customWidth="1"/>
    <col min="2312" max="2315" width="7" style="141" customWidth="1"/>
    <col min="2316" max="2316" width="8.42578125" style="141" customWidth="1"/>
    <col min="2317" max="2317" width="9.28515625" style="141" customWidth="1"/>
    <col min="2318" max="2318" width="8.42578125" style="141" bestFit="1" customWidth="1"/>
    <col min="2319" max="2560" width="7.7109375" style="141"/>
    <col min="2561" max="2561" width="28" style="141" customWidth="1"/>
    <col min="2562" max="2562" width="8.28515625" style="141" bestFit="1" customWidth="1"/>
    <col min="2563" max="2563" width="6.7109375" style="141" customWidth="1"/>
    <col min="2564" max="2564" width="1.7109375" style="141" customWidth="1"/>
    <col min="2565" max="2565" width="7.42578125" style="141" customWidth="1"/>
    <col min="2566" max="2566" width="7.28515625" style="141" customWidth="1"/>
    <col min="2567" max="2567" width="7.85546875" style="141" customWidth="1"/>
    <col min="2568" max="2571" width="7" style="141" customWidth="1"/>
    <col min="2572" max="2572" width="8.42578125" style="141" customWidth="1"/>
    <col min="2573" max="2573" width="9.28515625" style="141" customWidth="1"/>
    <col min="2574" max="2574" width="8.42578125" style="141" bestFit="1" customWidth="1"/>
    <col min="2575" max="2816" width="7.7109375" style="141"/>
    <col min="2817" max="2817" width="28" style="141" customWidth="1"/>
    <col min="2818" max="2818" width="8.28515625" style="141" bestFit="1" customWidth="1"/>
    <col min="2819" max="2819" width="6.7109375" style="141" customWidth="1"/>
    <col min="2820" max="2820" width="1.7109375" style="141" customWidth="1"/>
    <col min="2821" max="2821" width="7.42578125" style="141" customWidth="1"/>
    <col min="2822" max="2822" width="7.28515625" style="141" customWidth="1"/>
    <col min="2823" max="2823" width="7.85546875" style="141" customWidth="1"/>
    <col min="2824" max="2827" width="7" style="141" customWidth="1"/>
    <col min="2828" max="2828" width="8.42578125" style="141" customWidth="1"/>
    <col min="2829" max="2829" width="9.28515625" style="141" customWidth="1"/>
    <col min="2830" max="2830" width="8.42578125" style="141" bestFit="1" customWidth="1"/>
    <col min="2831" max="3072" width="7.7109375" style="141"/>
    <col min="3073" max="3073" width="28" style="141" customWidth="1"/>
    <col min="3074" max="3074" width="8.28515625" style="141" bestFit="1" customWidth="1"/>
    <col min="3075" max="3075" width="6.7109375" style="141" customWidth="1"/>
    <col min="3076" max="3076" width="1.7109375" style="141" customWidth="1"/>
    <col min="3077" max="3077" width="7.42578125" style="141" customWidth="1"/>
    <col min="3078" max="3078" width="7.28515625" style="141" customWidth="1"/>
    <col min="3079" max="3079" width="7.85546875" style="141" customWidth="1"/>
    <col min="3080" max="3083" width="7" style="141" customWidth="1"/>
    <col min="3084" max="3084" width="8.42578125" style="141" customWidth="1"/>
    <col min="3085" max="3085" width="9.28515625" style="141" customWidth="1"/>
    <col min="3086" max="3086" width="8.42578125" style="141" bestFit="1" customWidth="1"/>
    <col min="3087" max="3328" width="7.7109375" style="141"/>
    <col min="3329" max="3329" width="28" style="141" customWidth="1"/>
    <col min="3330" max="3330" width="8.28515625" style="141" bestFit="1" customWidth="1"/>
    <col min="3331" max="3331" width="6.7109375" style="141" customWidth="1"/>
    <col min="3332" max="3332" width="1.7109375" style="141" customWidth="1"/>
    <col min="3333" max="3333" width="7.42578125" style="141" customWidth="1"/>
    <col min="3334" max="3334" width="7.28515625" style="141" customWidth="1"/>
    <col min="3335" max="3335" width="7.85546875" style="141" customWidth="1"/>
    <col min="3336" max="3339" width="7" style="141" customWidth="1"/>
    <col min="3340" max="3340" width="8.42578125" style="141" customWidth="1"/>
    <col min="3341" max="3341" width="9.28515625" style="141" customWidth="1"/>
    <col min="3342" max="3342" width="8.42578125" style="141" bestFit="1" customWidth="1"/>
    <col min="3343" max="3584" width="7.7109375" style="141"/>
    <col min="3585" max="3585" width="28" style="141" customWidth="1"/>
    <col min="3586" max="3586" width="8.28515625" style="141" bestFit="1" customWidth="1"/>
    <col min="3587" max="3587" width="6.7109375" style="141" customWidth="1"/>
    <col min="3588" max="3588" width="1.7109375" style="141" customWidth="1"/>
    <col min="3589" max="3589" width="7.42578125" style="141" customWidth="1"/>
    <col min="3590" max="3590" width="7.28515625" style="141" customWidth="1"/>
    <col min="3591" max="3591" width="7.85546875" style="141" customWidth="1"/>
    <col min="3592" max="3595" width="7" style="141" customWidth="1"/>
    <col min="3596" max="3596" width="8.42578125" style="141" customWidth="1"/>
    <col min="3597" max="3597" width="9.28515625" style="141" customWidth="1"/>
    <col min="3598" max="3598" width="8.42578125" style="141" bestFit="1" customWidth="1"/>
    <col min="3599" max="3840" width="7.7109375" style="141"/>
    <col min="3841" max="3841" width="28" style="141" customWidth="1"/>
    <col min="3842" max="3842" width="8.28515625" style="141" bestFit="1" customWidth="1"/>
    <col min="3843" max="3843" width="6.7109375" style="141" customWidth="1"/>
    <col min="3844" max="3844" width="1.7109375" style="141" customWidth="1"/>
    <col min="3845" max="3845" width="7.42578125" style="141" customWidth="1"/>
    <col min="3846" max="3846" width="7.28515625" style="141" customWidth="1"/>
    <col min="3847" max="3847" width="7.85546875" style="141" customWidth="1"/>
    <col min="3848" max="3851" width="7" style="141" customWidth="1"/>
    <col min="3852" max="3852" width="8.42578125" style="141" customWidth="1"/>
    <col min="3853" max="3853" width="9.28515625" style="141" customWidth="1"/>
    <col min="3854" max="3854" width="8.42578125" style="141" bestFit="1" customWidth="1"/>
    <col min="3855" max="4096" width="7.7109375" style="141"/>
    <col min="4097" max="4097" width="28" style="141" customWidth="1"/>
    <col min="4098" max="4098" width="8.28515625" style="141" bestFit="1" customWidth="1"/>
    <col min="4099" max="4099" width="6.7109375" style="141" customWidth="1"/>
    <col min="4100" max="4100" width="1.7109375" style="141" customWidth="1"/>
    <col min="4101" max="4101" width="7.42578125" style="141" customWidth="1"/>
    <col min="4102" max="4102" width="7.28515625" style="141" customWidth="1"/>
    <col min="4103" max="4103" width="7.85546875" style="141" customWidth="1"/>
    <col min="4104" max="4107" width="7" style="141" customWidth="1"/>
    <col min="4108" max="4108" width="8.42578125" style="141" customWidth="1"/>
    <col min="4109" max="4109" width="9.28515625" style="141" customWidth="1"/>
    <col min="4110" max="4110" width="8.42578125" style="141" bestFit="1" customWidth="1"/>
    <col min="4111" max="4352" width="7.7109375" style="141"/>
    <col min="4353" max="4353" width="28" style="141" customWidth="1"/>
    <col min="4354" max="4354" width="8.28515625" style="141" bestFit="1" customWidth="1"/>
    <col min="4355" max="4355" width="6.7109375" style="141" customWidth="1"/>
    <col min="4356" max="4356" width="1.7109375" style="141" customWidth="1"/>
    <col min="4357" max="4357" width="7.42578125" style="141" customWidth="1"/>
    <col min="4358" max="4358" width="7.28515625" style="141" customWidth="1"/>
    <col min="4359" max="4359" width="7.85546875" style="141" customWidth="1"/>
    <col min="4360" max="4363" width="7" style="141" customWidth="1"/>
    <col min="4364" max="4364" width="8.42578125" style="141" customWidth="1"/>
    <col min="4365" max="4365" width="9.28515625" style="141" customWidth="1"/>
    <col min="4366" max="4366" width="8.42578125" style="141" bestFit="1" customWidth="1"/>
    <col min="4367" max="4608" width="7.7109375" style="141"/>
    <col min="4609" max="4609" width="28" style="141" customWidth="1"/>
    <col min="4610" max="4610" width="8.28515625" style="141" bestFit="1" customWidth="1"/>
    <col min="4611" max="4611" width="6.7109375" style="141" customWidth="1"/>
    <col min="4612" max="4612" width="1.7109375" style="141" customWidth="1"/>
    <col min="4613" max="4613" width="7.42578125" style="141" customWidth="1"/>
    <col min="4614" max="4614" width="7.28515625" style="141" customWidth="1"/>
    <col min="4615" max="4615" width="7.85546875" style="141" customWidth="1"/>
    <col min="4616" max="4619" width="7" style="141" customWidth="1"/>
    <col min="4620" max="4620" width="8.42578125" style="141" customWidth="1"/>
    <col min="4621" max="4621" width="9.28515625" style="141" customWidth="1"/>
    <col min="4622" max="4622" width="8.42578125" style="141" bestFit="1" customWidth="1"/>
    <col min="4623" max="4864" width="7.7109375" style="141"/>
    <col min="4865" max="4865" width="28" style="141" customWidth="1"/>
    <col min="4866" max="4866" width="8.28515625" style="141" bestFit="1" customWidth="1"/>
    <col min="4867" max="4867" width="6.7109375" style="141" customWidth="1"/>
    <col min="4868" max="4868" width="1.7109375" style="141" customWidth="1"/>
    <col min="4869" max="4869" width="7.42578125" style="141" customWidth="1"/>
    <col min="4870" max="4870" width="7.28515625" style="141" customWidth="1"/>
    <col min="4871" max="4871" width="7.85546875" style="141" customWidth="1"/>
    <col min="4872" max="4875" width="7" style="141" customWidth="1"/>
    <col min="4876" max="4876" width="8.42578125" style="141" customWidth="1"/>
    <col min="4877" max="4877" width="9.28515625" style="141" customWidth="1"/>
    <col min="4878" max="4878" width="8.42578125" style="141" bestFit="1" customWidth="1"/>
    <col min="4879" max="5120" width="7.7109375" style="141"/>
    <col min="5121" max="5121" width="28" style="141" customWidth="1"/>
    <col min="5122" max="5122" width="8.28515625" style="141" bestFit="1" customWidth="1"/>
    <col min="5123" max="5123" width="6.7109375" style="141" customWidth="1"/>
    <col min="5124" max="5124" width="1.7109375" style="141" customWidth="1"/>
    <col min="5125" max="5125" width="7.42578125" style="141" customWidth="1"/>
    <col min="5126" max="5126" width="7.28515625" style="141" customWidth="1"/>
    <col min="5127" max="5127" width="7.85546875" style="141" customWidth="1"/>
    <col min="5128" max="5131" width="7" style="141" customWidth="1"/>
    <col min="5132" max="5132" width="8.42578125" style="141" customWidth="1"/>
    <col min="5133" max="5133" width="9.28515625" style="141" customWidth="1"/>
    <col min="5134" max="5134" width="8.42578125" style="141" bestFit="1" customWidth="1"/>
    <col min="5135" max="5376" width="7.7109375" style="141"/>
    <col min="5377" max="5377" width="28" style="141" customWidth="1"/>
    <col min="5378" max="5378" width="8.28515625" style="141" bestFit="1" customWidth="1"/>
    <col min="5379" max="5379" width="6.7109375" style="141" customWidth="1"/>
    <col min="5380" max="5380" width="1.7109375" style="141" customWidth="1"/>
    <col min="5381" max="5381" width="7.42578125" style="141" customWidth="1"/>
    <col min="5382" max="5382" width="7.28515625" style="141" customWidth="1"/>
    <col min="5383" max="5383" width="7.85546875" style="141" customWidth="1"/>
    <col min="5384" max="5387" width="7" style="141" customWidth="1"/>
    <col min="5388" max="5388" width="8.42578125" style="141" customWidth="1"/>
    <col min="5389" max="5389" width="9.28515625" style="141" customWidth="1"/>
    <col min="5390" max="5390" width="8.42578125" style="141" bestFit="1" customWidth="1"/>
    <col min="5391" max="5632" width="7.7109375" style="141"/>
    <col min="5633" max="5633" width="28" style="141" customWidth="1"/>
    <col min="5634" max="5634" width="8.28515625" style="141" bestFit="1" customWidth="1"/>
    <col min="5635" max="5635" width="6.7109375" style="141" customWidth="1"/>
    <col min="5636" max="5636" width="1.7109375" style="141" customWidth="1"/>
    <col min="5637" max="5637" width="7.42578125" style="141" customWidth="1"/>
    <col min="5638" max="5638" width="7.28515625" style="141" customWidth="1"/>
    <col min="5639" max="5639" width="7.85546875" style="141" customWidth="1"/>
    <col min="5640" max="5643" width="7" style="141" customWidth="1"/>
    <col min="5644" max="5644" width="8.42578125" style="141" customWidth="1"/>
    <col min="5645" max="5645" width="9.28515625" style="141" customWidth="1"/>
    <col min="5646" max="5646" width="8.42578125" style="141" bestFit="1" customWidth="1"/>
    <col min="5647" max="5888" width="7.7109375" style="141"/>
    <col min="5889" max="5889" width="28" style="141" customWidth="1"/>
    <col min="5890" max="5890" width="8.28515625" style="141" bestFit="1" customWidth="1"/>
    <col min="5891" max="5891" width="6.7109375" style="141" customWidth="1"/>
    <col min="5892" max="5892" width="1.7109375" style="141" customWidth="1"/>
    <col min="5893" max="5893" width="7.42578125" style="141" customWidth="1"/>
    <col min="5894" max="5894" width="7.28515625" style="141" customWidth="1"/>
    <col min="5895" max="5895" width="7.85546875" style="141" customWidth="1"/>
    <col min="5896" max="5899" width="7" style="141" customWidth="1"/>
    <col min="5900" max="5900" width="8.42578125" style="141" customWidth="1"/>
    <col min="5901" max="5901" width="9.28515625" style="141" customWidth="1"/>
    <col min="5902" max="5902" width="8.42578125" style="141" bestFit="1" customWidth="1"/>
    <col min="5903" max="6144" width="7.7109375" style="141"/>
    <col min="6145" max="6145" width="28" style="141" customWidth="1"/>
    <col min="6146" max="6146" width="8.28515625" style="141" bestFit="1" customWidth="1"/>
    <col min="6147" max="6147" width="6.7109375" style="141" customWidth="1"/>
    <col min="6148" max="6148" width="1.7109375" style="141" customWidth="1"/>
    <col min="6149" max="6149" width="7.42578125" style="141" customWidth="1"/>
    <col min="6150" max="6150" width="7.28515625" style="141" customWidth="1"/>
    <col min="6151" max="6151" width="7.85546875" style="141" customWidth="1"/>
    <col min="6152" max="6155" width="7" style="141" customWidth="1"/>
    <col min="6156" max="6156" width="8.42578125" style="141" customWidth="1"/>
    <col min="6157" max="6157" width="9.28515625" style="141" customWidth="1"/>
    <col min="6158" max="6158" width="8.42578125" style="141" bestFit="1" customWidth="1"/>
    <col min="6159" max="6400" width="7.7109375" style="141"/>
    <col min="6401" max="6401" width="28" style="141" customWidth="1"/>
    <col min="6402" max="6402" width="8.28515625" style="141" bestFit="1" customWidth="1"/>
    <col min="6403" max="6403" width="6.7109375" style="141" customWidth="1"/>
    <col min="6404" max="6404" width="1.7109375" style="141" customWidth="1"/>
    <col min="6405" max="6405" width="7.42578125" style="141" customWidth="1"/>
    <col min="6406" max="6406" width="7.28515625" style="141" customWidth="1"/>
    <col min="6407" max="6407" width="7.85546875" style="141" customWidth="1"/>
    <col min="6408" max="6411" width="7" style="141" customWidth="1"/>
    <col min="6412" max="6412" width="8.42578125" style="141" customWidth="1"/>
    <col min="6413" max="6413" width="9.28515625" style="141" customWidth="1"/>
    <col min="6414" max="6414" width="8.42578125" style="141" bestFit="1" customWidth="1"/>
    <col min="6415" max="6656" width="7.7109375" style="141"/>
    <col min="6657" max="6657" width="28" style="141" customWidth="1"/>
    <col min="6658" max="6658" width="8.28515625" style="141" bestFit="1" customWidth="1"/>
    <col min="6659" max="6659" width="6.7109375" style="141" customWidth="1"/>
    <col min="6660" max="6660" width="1.7109375" style="141" customWidth="1"/>
    <col min="6661" max="6661" width="7.42578125" style="141" customWidth="1"/>
    <col min="6662" max="6662" width="7.28515625" style="141" customWidth="1"/>
    <col min="6663" max="6663" width="7.85546875" style="141" customWidth="1"/>
    <col min="6664" max="6667" width="7" style="141" customWidth="1"/>
    <col min="6668" max="6668" width="8.42578125" style="141" customWidth="1"/>
    <col min="6669" max="6669" width="9.28515625" style="141" customWidth="1"/>
    <col min="6670" max="6670" width="8.42578125" style="141" bestFit="1" customWidth="1"/>
    <col min="6671" max="6912" width="7.7109375" style="141"/>
    <col min="6913" max="6913" width="28" style="141" customWidth="1"/>
    <col min="6914" max="6914" width="8.28515625" style="141" bestFit="1" customWidth="1"/>
    <col min="6915" max="6915" width="6.7109375" style="141" customWidth="1"/>
    <col min="6916" max="6916" width="1.7109375" style="141" customWidth="1"/>
    <col min="6917" max="6917" width="7.42578125" style="141" customWidth="1"/>
    <col min="6918" max="6918" width="7.28515625" style="141" customWidth="1"/>
    <col min="6919" max="6919" width="7.85546875" style="141" customWidth="1"/>
    <col min="6920" max="6923" width="7" style="141" customWidth="1"/>
    <col min="6924" max="6924" width="8.42578125" style="141" customWidth="1"/>
    <col min="6925" max="6925" width="9.28515625" style="141" customWidth="1"/>
    <col min="6926" max="6926" width="8.42578125" style="141" bestFit="1" customWidth="1"/>
    <col min="6927" max="7168" width="7.7109375" style="141"/>
    <col min="7169" max="7169" width="28" style="141" customWidth="1"/>
    <col min="7170" max="7170" width="8.28515625" style="141" bestFit="1" customWidth="1"/>
    <col min="7171" max="7171" width="6.7109375" style="141" customWidth="1"/>
    <col min="7172" max="7172" width="1.7109375" style="141" customWidth="1"/>
    <col min="7173" max="7173" width="7.42578125" style="141" customWidth="1"/>
    <col min="7174" max="7174" width="7.28515625" style="141" customWidth="1"/>
    <col min="7175" max="7175" width="7.85546875" style="141" customWidth="1"/>
    <col min="7176" max="7179" width="7" style="141" customWidth="1"/>
    <col min="7180" max="7180" width="8.42578125" style="141" customWidth="1"/>
    <col min="7181" max="7181" width="9.28515625" style="141" customWidth="1"/>
    <col min="7182" max="7182" width="8.42578125" style="141" bestFit="1" customWidth="1"/>
    <col min="7183" max="7424" width="7.7109375" style="141"/>
    <col min="7425" max="7425" width="28" style="141" customWidth="1"/>
    <col min="7426" max="7426" width="8.28515625" style="141" bestFit="1" customWidth="1"/>
    <col min="7427" max="7427" width="6.7109375" style="141" customWidth="1"/>
    <col min="7428" max="7428" width="1.7109375" style="141" customWidth="1"/>
    <col min="7429" max="7429" width="7.42578125" style="141" customWidth="1"/>
    <col min="7430" max="7430" width="7.28515625" style="141" customWidth="1"/>
    <col min="7431" max="7431" width="7.85546875" style="141" customWidth="1"/>
    <col min="7432" max="7435" width="7" style="141" customWidth="1"/>
    <col min="7436" max="7436" width="8.42578125" style="141" customWidth="1"/>
    <col min="7437" max="7437" width="9.28515625" style="141" customWidth="1"/>
    <col min="7438" max="7438" width="8.42578125" style="141" bestFit="1" customWidth="1"/>
    <col min="7439" max="7680" width="7.7109375" style="141"/>
    <col min="7681" max="7681" width="28" style="141" customWidth="1"/>
    <col min="7682" max="7682" width="8.28515625" style="141" bestFit="1" customWidth="1"/>
    <col min="7683" max="7683" width="6.7109375" style="141" customWidth="1"/>
    <col min="7684" max="7684" width="1.7109375" style="141" customWidth="1"/>
    <col min="7685" max="7685" width="7.42578125" style="141" customWidth="1"/>
    <col min="7686" max="7686" width="7.28515625" style="141" customWidth="1"/>
    <col min="7687" max="7687" width="7.85546875" style="141" customWidth="1"/>
    <col min="7688" max="7691" width="7" style="141" customWidth="1"/>
    <col min="7692" max="7692" width="8.42578125" style="141" customWidth="1"/>
    <col min="7693" max="7693" width="9.28515625" style="141" customWidth="1"/>
    <col min="7694" max="7694" width="8.42578125" style="141" bestFit="1" customWidth="1"/>
    <col min="7695" max="7936" width="7.7109375" style="141"/>
    <col min="7937" max="7937" width="28" style="141" customWidth="1"/>
    <col min="7938" max="7938" width="8.28515625" style="141" bestFit="1" customWidth="1"/>
    <col min="7939" max="7939" width="6.7109375" style="141" customWidth="1"/>
    <col min="7940" max="7940" width="1.7109375" style="141" customWidth="1"/>
    <col min="7941" max="7941" width="7.42578125" style="141" customWidth="1"/>
    <col min="7942" max="7942" width="7.28515625" style="141" customWidth="1"/>
    <col min="7943" max="7943" width="7.85546875" style="141" customWidth="1"/>
    <col min="7944" max="7947" width="7" style="141" customWidth="1"/>
    <col min="7948" max="7948" width="8.42578125" style="141" customWidth="1"/>
    <col min="7949" max="7949" width="9.28515625" style="141" customWidth="1"/>
    <col min="7950" max="7950" width="8.42578125" style="141" bestFit="1" customWidth="1"/>
    <col min="7951" max="8192" width="7.7109375" style="141"/>
    <col min="8193" max="8193" width="28" style="141" customWidth="1"/>
    <col min="8194" max="8194" width="8.28515625" style="141" bestFit="1" customWidth="1"/>
    <col min="8195" max="8195" width="6.7109375" style="141" customWidth="1"/>
    <col min="8196" max="8196" width="1.7109375" style="141" customWidth="1"/>
    <col min="8197" max="8197" width="7.42578125" style="141" customWidth="1"/>
    <col min="8198" max="8198" width="7.28515625" style="141" customWidth="1"/>
    <col min="8199" max="8199" width="7.85546875" style="141" customWidth="1"/>
    <col min="8200" max="8203" width="7" style="141" customWidth="1"/>
    <col min="8204" max="8204" width="8.42578125" style="141" customWidth="1"/>
    <col min="8205" max="8205" width="9.28515625" style="141" customWidth="1"/>
    <col min="8206" max="8206" width="8.42578125" style="141" bestFit="1" customWidth="1"/>
    <col min="8207" max="8448" width="7.7109375" style="141"/>
    <col min="8449" max="8449" width="28" style="141" customWidth="1"/>
    <col min="8450" max="8450" width="8.28515625" style="141" bestFit="1" customWidth="1"/>
    <col min="8451" max="8451" width="6.7109375" style="141" customWidth="1"/>
    <col min="8452" max="8452" width="1.7109375" style="141" customWidth="1"/>
    <col min="8453" max="8453" width="7.42578125" style="141" customWidth="1"/>
    <col min="8454" max="8454" width="7.28515625" style="141" customWidth="1"/>
    <col min="8455" max="8455" width="7.85546875" style="141" customWidth="1"/>
    <col min="8456" max="8459" width="7" style="141" customWidth="1"/>
    <col min="8460" max="8460" width="8.42578125" style="141" customWidth="1"/>
    <col min="8461" max="8461" width="9.28515625" style="141" customWidth="1"/>
    <col min="8462" max="8462" width="8.42578125" style="141" bestFit="1" customWidth="1"/>
    <col min="8463" max="8704" width="7.7109375" style="141"/>
    <col min="8705" max="8705" width="28" style="141" customWidth="1"/>
    <col min="8706" max="8706" width="8.28515625" style="141" bestFit="1" customWidth="1"/>
    <col min="8707" max="8707" width="6.7109375" style="141" customWidth="1"/>
    <col min="8708" max="8708" width="1.7109375" style="141" customWidth="1"/>
    <col min="8709" max="8709" width="7.42578125" style="141" customWidth="1"/>
    <col min="8710" max="8710" width="7.28515625" style="141" customWidth="1"/>
    <col min="8711" max="8711" width="7.85546875" style="141" customWidth="1"/>
    <col min="8712" max="8715" width="7" style="141" customWidth="1"/>
    <col min="8716" max="8716" width="8.42578125" style="141" customWidth="1"/>
    <col min="8717" max="8717" width="9.28515625" style="141" customWidth="1"/>
    <col min="8718" max="8718" width="8.42578125" style="141" bestFit="1" customWidth="1"/>
    <col min="8719" max="8960" width="7.7109375" style="141"/>
    <col min="8961" max="8961" width="28" style="141" customWidth="1"/>
    <col min="8962" max="8962" width="8.28515625" style="141" bestFit="1" customWidth="1"/>
    <col min="8963" max="8963" width="6.7109375" style="141" customWidth="1"/>
    <col min="8964" max="8964" width="1.7109375" style="141" customWidth="1"/>
    <col min="8965" max="8965" width="7.42578125" style="141" customWidth="1"/>
    <col min="8966" max="8966" width="7.28515625" style="141" customWidth="1"/>
    <col min="8967" max="8967" width="7.85546875" style="141" customWidth="1"/>
    <col min="8968" max="8971" width="7" style="141" customWidth="1"/>
    <col min="8972" max="8972" width="8.42578125" style="141" customWidth="1"/>
    <col min="8973" max="8973" width="9.28515625" style="141" customWidth="1"/>
    <col min="8974" max="8974" width="8.42578125" style="141" bestFit="1" customWidth="1"/>
    <col min="8975" max="9216" width="7.7109375" style="141"/>
    <col min="9217" max="9217" width="28" style="141" customWidth="1"/>
    <col min="9218" max="9218" width="8.28515625" style="141" bestFit="1" customWidth="1"/>
    <col min="9219" max="9219" width="6.7109375" style="141" customWidth="1"/>
    <col min="9220" max="9220" width="1.7109375" style="141" customWidth="1"/>
    <col min="9221" max="9221" width="7.42578125" style="141" customWidth="1"/>
    <col min="9222" max="9222" width="7.28515625" style="141" customWidth="1"/>
    <col min="9223" max="9223" width="7.85546875" style="141" customWidth="1"/>
    <col min="9224" max="9227" width="7" style="141" customWidth="1"/>
    <col min="9228" max="9228" width="8.42578125" style="141" customWidth="1"/>
    <col min="9229" max="9229" width="9.28515625" style="141" customWidth="1"/>
    <col min="9230" max="9230" width="8.42578125" style="141" bestFit="1" customWidth="1"/>
    <col min="9231" max="9472" width="7.7109375" style="141"/>
    <col min="9473" max="9473" width="28" style="141" customWidth="1"/>
    <col min="9474" max="9474" width="8.28515625" style="141" bestFit="1" customWidth="1"/>
    <col min="9475" max="9475" width="6.7109375" style="141" customWidth="1"/>
    <col min="9476" max="9476" width="1.7109375" style="141" customWidth="1"/>
    <col min="9477" max="9477" width="7.42578125" style="141" customWidth="1"/>
    <col min="9478" max="9478" width="7.28515625" style="141" customWidth="1"/>
    <col min="9479" max="9479" width="7.85546875" style="141" customWidth="1"/>
    <col min="9480" max="9483" width="7" style="141" customWidth="1"/>
    <col min="9484" max="9484" width="8.42578125" style="141" customWidth="1"/>
    <col min="9485" max="9485" width="9.28515625" style="141" customWidth="1"/>
    <col min="9486" max="9486" width="8.42578125" style="141" bestFit="1" customWidth="1"/>
    <col min="9487" max="9728" width="7.7109375" style="141"/>
    <col min="9729" max="9729" width="28" style="141" customWidth="1"/>
    <col min="9730" max="9730" width="8.28515625" style="141" bestFit="1" customWidth="1"/>
    <col min="9731" max="9731" width="6.7109375" style="141" customWidth="1"/>
    <col min="9732" max="9732" width="1.7109375" style="141" customWidth="1"/>
    <col min="9733" max="9733" width="7.42578125" style="141" customWidth="1"/>
    <col min="9734" max="9734" width="7.28515625" style="141" customWidth="1"/>
    <col min="9735" max="9735" width="7.85546875" style="141" customWidth="1"/>
    <col min="9736" max="9739" width="7" style="141" customWidth="1"/>
    <col min="9740" max="9740" width="8.42578125" style="141" customWidth="1"/>
    <col min="9741" max="9741" width="9.28515625" style="141" customWidth="1"/>
    <col min="9742" max="9742" width="8.42578125" style="141" bestFit="1" customWidth="1"/>
    <col min="9743" max="9984" width="7.7109375" style="141"/>
    <col min="9985" max="9985" width="28" style="141" customWidth="1"/>
    <col min="9986" max="9986" width="8.28515625" style="141" bestFit="1" customWidth="1"/>
    <col min="9987" max="9987" width="6.7109375" style="141" customWidth="1"/>
    <col min="9988" max="9988" width="1.7109375" style="141" customWidth="1"/>
    <col min="9989" max="9989" width="7.42578125" style="141" customWidth="1"/>
    <col min="9990" max="9990" width="7.28515625" style="141" customWidth="1"/>
    <col min="9991" max="9991" width="7.85546875" style="141" customWidth="1"/>
    <col min="9992" max="9995" width="7" style="141" customWidth="1"/>
    <col min="9996" max="9996" width="8.42578125" style="141" customWidth="1"/>
    <col min="9997" max="9997" width="9.28515625" style="141" customWidth="1"/>
    <col min="9998" max="9998" width="8.42578125" style="141" bestFit="1" customWidth="1"/>
    <col min="9999" max="10240" width="7.7109375" style="141"/>
    <col min="10241" max="10241" width="28" style="141" customWidth="1"/>
    <col min="10242" max="10242" width="8.28515625" style="141" bestFit="1" customWidth="1"/>
    <col min="10243" max="10243" width="6.7109375" style="141" customWidth="1"/>
    <col min="10244" max="10244" width="1.7109375" style="141" customWidth="1"/>
    <col min="10245" max="10245" width="7.42578125" style="141" customWidth="1"/>
    <col min="10246" max="10246" width="7.28515625" style="141" customWidth="1"/>
    <col min="10247" max="10247" width="7.85546875" style="141" customWidth="1"/>
    <col min="10248" max="10251" width="7" style="141" customWidth="1"/>
    <col min="10252" max="10252" width="8.42578125" style="141" customWidth="1"/>
    <col min="10253" max="10253" width="9.28515625" style="141" customWidth="1"/>
    <col min="10254" max="10254" width="8.42578125" style="141" bestFit="1" customWidth="1"/>
    <col min="10255" max="10496" width="7.7109375" style="141"/>
    <col min="10497" max="10497" width="28" style="141" customWidth="1"/>
    <col min="10498" max="10498" width="8.28515625" style="141" bestFit="1" customWidth="1"/>
    <col min="10499" max="10499" width="6.7109375" style="141" customWidth="1"/>
    <col min="10500" max="10500" width="1.7109375" style="141" customWidth="1"/>
    <col min="10501" max="10501" width="7.42578125" style="141" customWidth="1"/>
    <col min="10502" max="10502" width="7.28515625" style="141" customWidth="1"/>
    <col min="10503" max="10503" width="7.85546875" style="141" customWidth="1"/>
    <col min="10504" max="10507" width="7" style="141" customWidth="1"/>
    <col min="10508" max="10508" width="8.42578125" style="141" customWidth="1"/>
    <col min="10509" max="10509" width="9.28515625" style="141" customWidth="1"/>
    <col min="10510" max="10510" width="8.42578125" style="141" bestFit="1" customWidth="1"/>
    <col min="10511" max="10752" width="7.7109375" style="141"/>
    <col min="10753" max="10753" width="28" style="141" customWidth="1"/>
    <col min="10754" max="10754" width="8.28515625" style="141" bestFit="1" customWidth="1"/>
    <col min="10755" max="10755" width="6.7109375" style="141" customWidth="1"/>
    <col min="10756" max="10756" width="1.7109375" style="141" customWidth="1"/>
    <col min="10757" max="10757" width="7.42578125" style="141" customWidth="1"/>
    <col min="10758" max="10758" width="7.28515625" style="141" customWidth="1"/>
    <col min="10759" max="10759" width="7.85546875" style="141" customWidth="1"/>
    <col min="10760" max="10763" width="7" style="141" customWidth="1"/>
    <col min="10764" max="10764" width="8.42578125" style="141" customWidth="1"/>
    <col min="10765" max="10765" width="9.28515625" style="141" customWidth="1"/>
    <col min="10766" max="10766" width="8.42578125" style="141" bestFit="1" customWidth="1"/>
    <col min="10767" max="11008" width="7.7109375" style="141"/>
    <col min="11009" max="11009" width="28" style="141" customWidth="1"/>
    <col min="11010" max="11010" width="8.28515625" style="141" bestFit="1" customWidth="1"/>
    <col min="11011" max="11011" width="6.7109375" style="141" customWidth="1"/>
    <col min="11012" max="11012" width="1.7109375" style="141" customWidth="1"/>
    <col min="11013" max="11013" width="7.42578125" style="141" customWidth="1"/>
    <col min="11014" max="11014" width="7.28515625" style="141" customWidth="1"/>
    <col min="11015" max="11015" width="7.85546875" style="141" customWidth="1"/>
    <col min="11016" max="11019" width="7" style="141" customWidth="1"/>
    <col min="11020" max="11020" width="8.42578125" style="141" customWidth="1"/>
    <col min="11021" max="11021" width="9.28515625" style="141" customWidth="1"/>
    <col min="11022" max="11022" width="8.42578125" style="141" bestFit="1" customWidth="1"/>
    <col min="11023" max="11264" width="7.7109375" style="141"/>
    <col min="11265" max="11265" width="28" style="141" customWidth="1"/>
    <col min="11266" max="11266" width="8.28515625" style="141" bestFit="1" customWidth="1"/>
    <col min="11267" max="11267" width="6.7109375" style="141" customWidth="1"/>
    <col min="11268" max="11268" width="1.7109375" style="141" customWidth="1"/>
    <col min="11269" max="11269" width="7.42578125" style="141" customWidth="1"/>
    <col min="11270" max="11270" width="7.28515625" style="141" customWidth="1"/>
    <col min="11271" max="11271" width="7.85546875" style="141" customWidth="1"/>
    <col min="11272" max="11275" width="7" style="141" customWidth="1"/>
    <col min="11276" max="11276" width="8.42578125" style="141" customWidth="1"/>
    <col min="11277" max="11277" width="9.28515625" style="141" customWidth="1"/>
    <col min="11278" max="11278" width="8.42578125" style="141" bestFit="1" customWidth="1"/>
    <col min="11279" max="11520" width="7.7109375" style="141"/>
    <col min="11521" max="11521" width="28" style="141" customWidth="1"/>
    <col min="11522" max="11522" width="8.28515625" style="141" bestFit="1" customWidth="1"/>
    <col min="11523" max="11523" width="6.7109375" style="141" customWidth="1"/>
    <col min="11524" max="11524" width="1.7109375" style="141" customWidth="1"/>
    <col min="11525" max="11525" width="7.42578125" style="141" customWidth="1"/>
    <col min="11526" max="11526" width="7.28515625" style="141" customWidth="1"/>
    <col min="11527" max="11527" width="7.85546875" style="141" customWidth="1"/>
    <col min="11528" max="11531" width="7" style="141" customWidth="1"/>
    <col min="11532" max="11532" width="8.42578125" style="141" customWidth="1"/>
    <col min="11533" max="11533" width="9.28515625" style="141" customWidth="1"/>
    <col min="11534" max="11534" width="8.42578125" style="141" bestFit="1" customWidth="1"/>
    <col min="11535" max="11776" width="7.7109375" style="141"/>
    <col min="11777" max="11777" width="28" style="141" customWidth="1"/>
    <col min="11778" max="11778" width="8.28515625" style="141" bestFit="1" customWidth="1"/>
    <col min="11779" max="11779" width="6.7109375" style="141" customWidth="1"/>
    <col min="11780" max="11780" width="1.7109375" style="141" customWidth="1"/>
    <col min="11781" max="11781" width="7.42578125" style="141" customWidth="1"/>
    <col min="11782" max="11782" width="7.28515625" style="141" customWidth="1"/>
    <col min="11783" max="11783" width="7.85546875" style="141" customWidth="1"/>
    <col min="11784" max="11787" width="7" style="141" customWidth="1"/>
    <col min="11788" max="11788" width="8.42578125" style="141" customWidth="1"/>
    <col min="11789" max="11789" width="9.28515625" style="141" customWidth="1"/>
    <col min="11790" max="11790" width="8.42578125" style="141" bestFit="1" customWidth="1"/>
    <col min="11791" max="12032" width="7.7109375" style="141"/>
    <col min="12033" max="12033" width="28" style="141" customWidth="1"/>
    <col min="12034" max="12034" width="8.28515625" style="141" bestFit="1" customWidth="1"/>
    <col min="12035" max="12035" width="6.7109375" style="141" customWidth="1"/>
    <col min="12036" max="12036" width="1.7109375" style="141" customWidth="1"/>
    <col min="12037" max="12037" width="7.42578125" style="141" customWidth="1"/>
    <col min="12038" max="12038" width="7.28515625" style="141" customWidth="1"/>
    <col min="12039" max="12039" width="7.85546875" style="141" customWidth="1"/>
    <col min="12040" max="12043" width="7" style="141" customWidth="1"/>
    <col min="12044" max="12044" width="8.42578125" style="141" customWidth="1"/>
    <col min="12045" max="12045" width="9.28515625" style="141" customWidth="1"/>
    <col min="12046" max="12046" width="8.42578125" style="141" bestFit="1" customWidth="1"/>
    <col min="12047" max="12288" width="7.7109375" style="141"/>
    <col min="12289" max="12289" width="28" style="141" customWidth="1"/>
    <col min="12290" max="12290" width="8.28515625" style="141" bestFit="1" customWidth="1"/>
    <col min="12291" max="12291" width="6.7109375" style="141" customWidth="1"/>
    <col min="12292" max="12292" width="1.7109375" style="141" customWidth="1"/>
    <col min="12293" max="12293" width="7.42578125" style="141" customWidth="1"/>
    <col min="12294" max="12294" width="7.28515625" style="141" customWidth="1"/>
    <col min="12295" max="12295" width="7.85546875" style="141" customWidth="1"/>
    <col min="12296" max="12299" width="7" style="141" customWidth="1"/>
    <col min="12300" max="12300" width="8.42578125" style="141" customWidth="1"/>
    <col min="12301" max="12301" width="9.28515625" style="141" customWidth="1"/>
    <col min="12302" max="12302" width="8.42578125" style="141" bestFit="1" customWidth="1"/>
    <col min="12303" max="12544" width="7.7109375" style="141"/>
    <col min="12545" max="12545" width="28" style="141" customWidth="1"/>
    <col min="12546" max="12546" width="8.28515625" style="141" bestFit="1" customWidth="1"/>
    <col min="12547" max="12547" width="6.7109375" style="141" customWidth="1"/>
    <col min="12548" max="12548" width="1.7109375" style="141" customWidth="1"/>
    <col min="12549" max="12549" width="7.42578125" style="141" customWidth="1"/>
    <col min="12550" max="12550" width="7.28515625" style="141" customWidth="1"/>
    <col min="12551" max="12551" width="7.85546875" style="141" customWidth="1"/>
    <col min="12552" max="12555" width="7" style="141" customWidth="1"/>
    <col min="12556" max="12556" width="8.42578125" style="141" customWidth="1"/>
    <col min="12557" max="12557" width="9.28515625" style="141" customWidth="1"/>
    <col min="12558" max="12558" width="8.42578125" style="141" bestFit="1" customWidth="1"/>
    <col min="12559" max="12800" width="7.7109375" style="141"/>
    <col min="12801" max="12801" width="28" style="141" customWidth="1"/>
    <col min="12802" max="12802" width="8.28515625" style="141" bestFit="1" customWidth="1"/>
    <col min="12803" max="12803" width="6.7109375" style="141" customWidth="1"/>
    <col min="12804" max="12804" width="1.7109375" style="141" customWidth="1"/>
    <col min="12805" max="12805" width="7.42578125" style="141" customWidth="1"/>
    <col min="12806" max="12806" width="7.28515625" style="141" customWidth="1"/>
    <col min="12807" max="12807" width="7.85546875" style="141" customWidth="1"/>
    <col min="12808" max="12811" width="7" style="141" customWidth="1"/>
    <col min="12812" max="12812" width="8.42578125" style="141" customWidth="1"/>
    <col min="12813" max="12813" width="9.28515625" style="141" customWidth="1"/>
    <col min="12814" max="12814" width="8.42578125" style="141" bestFit="1" customWidth="1"/>
    <col min="12815" max="13056" width="7.7109375" style="141"/>
    <col min="13057" max="13057" width="28" style="141" customWidth="1"/>
    <col min="13058" max="13058" width="8.28515625" style="141" bestFit="1" customWidth="1"/>
    <col min="13059" max="13059" width="6.7109375" style="141" customWidth="1"/>
    <col min="13060" max="13060" width="1.7109375" style="141" customWidth="1"/>
    <col min="13061" max="13061" width="7.42578125" style="141" customWidth="1"/>
    <col min="13062" max="13062" width="7.28515625" style="141" customWidth="1"/>
    <col min="13063" max="13063" width="7.85546875" style="141" customWidth="1"/>
    <col min="13064" max="13067" width="7" style="141" customWidth="1"/>
    <col min="13068" max="13068" width="8.42578125" style="141" customWidth="1"/>
    <col min="13069" max="13069" width="9.28515625" style="141" customWidth="1"/>
    <col min="13070" max="13070" width="8.42578125" style="141" bestFit="1" customWidth="1"/>
    <col min="13071" max="13312" width="7.7109375" style="141"/>
    <col min="13313" max="13313" width="28" style="141" customWidth="1"/>
    <col min="13314" max="13314" width="8.28515625" style="141" bestFit="1" customWidth="1"/>
    <col min="13315" max="13315" width="6.7109375" style="141" customWidth="1"/>
    <col min="13316" max="13316" width="1.7109375" style="141" customWidth="1"/>
    <col min="13317" max="13317" width="7.42578125" style="141" customWidth="1"/>
    <col min="13318" max="13318" width="7.28515625" style="141" customWidth="1"/>
    <col min="13319" max="13319" width="7.85546875" style="141" customWidth="1"/>
    <col min="13320" max="13323" width="7" style="141" customWidth="1"/>
    <col min="13324" max="13324" width="8.42578125" style="141" customWidth="1"/>
    <col min="13325" max="13325" width="9.28515625" style="141" customWidth="1"/>
    <col min="13326" max="13326" width="8.42578125" style="141" bestFit="1" customWidth="1"/>
    <col min="13327" max="13568" width="7.7109375" style="141"/>
    <col min="13569" max="13569" width="28" style="141" customWidth="1"/>
    <col min="13570" max="13570" width="8.28515625" style="141" bestFit="1" customWidth="1"/>
    <col min="13571" max="13571" width="6.7109375" style="141" customWidth="1"/>
    <col min="13572" max="13572" width="1.7109375" style="141" customWidth="1"/>
    <col min="13573" max="13573" width="7.42578125" style="141" customWidth="1"/>
    <col min="13574" max="13574" width="7.28515625" style="141" customWidth="1"/>
    <col min="13575" max="13575" width="7.85546875" style="141" customWidth="1"/>
    <col min="13576" max="13579" width="7" style="141" customWidth="1"/>
    <col min="13580" max="13580" width="8.42578125" style="141" customWidth="1"/>
    <col min="13581" max="13581" width="9.28515625" style="141" customWidth="1"/>
    <col min="13582" max="13582" width="8.42578125" style="141" bestFit="1" customWidth="1"/>
    <col min="13583" max="13824" width="7.7109375" style="141"/>
    <col min="13825" max="13825" width="28" style="141" customWidth="1"/>
    <col min="13826" max="13826" width="8.28515625" style="141" bestFit="1" customWidth="1"/>
    <col min="13827" max="13827" width="6.7109375" style="141" customWidth="1"/>
    <col min="13828" max="13828" width="1.7109375" style="141" customWidth="1"/>
    <col min="13829" max="13829" width="7.42578125" style="141" customWidth="1"/>
    <col min="13830" max="13830" width="7.28515625" style="141" customWidth="1"/>
    <col min="13831" max="13831" width="7.85546875" style="141" customWidth="1"/>
    <col min="13832" max="13835" width="7" style="141" customWidth="1"/>
    <col min="13836" max="13836" width="8.42578125" style="141" customWidth="1"/>
    <col min="13837" max="13837" width="9.28515625" style="141" customWidth="1"/>
    <col min="13838" max="13838" width="8.42578125" style="141" bestFit="1" customWidth="1"/>
    <col min="13839" max="14080" width="7.7109375" style="141"/>
    <col min="14081" max="14081" width="28" style="141" customWidth="1"/>
    <col min="14082" max="14082" width="8.28515625" style="141" bestFit="1" customWidth="1"/>
    <col min="14083" max="14083" width="6.7109375" style="141" customWidth="1"/>
    <col min="14084" max="14084" width="1.7109375" style="141" customWidth="1"/>
    <col min="14085" max="14085" width="7.42578125" style="141" customWidth="1"/>
    <col min="14086" max="14086" width="7.28515625" style="141" customWidth="1"/>
    <col min="14087" max="14087" width="7.85546875" style="141" customWidth="1"/>
    <col min="14088" max="14091" width="7" style="141" customWidth="1"/>
    <col min="14092" max="14092" width="8.42578125" style="141" customWidth="1"/>
    <col min="14093" max="14093" width="9.28515625" style="141" customWidth="1"/>
    <col min="14094" max="14094" width="8.42578125" style="141" bestFit="1" customWidth="1"/>
    <col min="14095" max="14336" width="7.7109375" style="141"/>
    <col min="14337" max="14337" width="28" style="141" customWidth="1"/>
    <col min="14338" max="14338" width="8.28515625" style="141" bestFit="1" customWidth="1"/>
    <col min="14339" max="14339" width="6.7109375" style="141" customWidth="1"/>
    <col min="14340" max="14340" width="1.7109375" style="141" customWidth="1"/>
    <col min="14341" max="14341" width="7.42578125" style="141" customWidth="1"/>
    <col min="14342" max="14342" width="7.28515625" style="141" customWidth="1"/>
    <col min="14343" max="14343" width="7.85546875" style="141" customWidth="1"/>
    <col min="14344" max="14347" width="7" style="141" customWidth="1"/>
    <col min="14348" max="14348" width="8.42578125" style="141" customWidth="1"/>
    <col min="14349" max="14349" width="9.28515625" style="141" customWidth="1"/>
    <col min="14350" max="14350" width="8.42578125" style="141" bestFit="1" customWidth="1"/>
    <col min="14351" max="14592" width="7.7109375" style="141"/>
    <col min="14593" max="14593" width="28" style="141" customWidth="1"/>
    <col min="14594" max="14594" width="8.28515625" style="141" bestFit="1" customWidth="1"/>
    <col min="14595" max="14595" width="6.7109375" style="141" customWidth="1"/>
    <col min="14596" max="14596" width="1.7109375" style="141" customWidth="1"/>
    <col min="14597" max="14597" width="7.42578125" style="141" customWidth="1"/>
    <col min="14598" max="14598" width="7.28515625" style="141" customWidth="1"/>
    <col min="14599" max="14599" width="7.85546875" style="141" customWidth="1"/>
    <col min="14600" max="14603" width="7" style="141" customWidth="1"/>
    <col min="14604" max="14604" width="8.42578125" style="141" customWidth="1"/>
    <col min="14605" max="14605" width="9.28515625" style="141" customWidth="1"/>
    <col min="14606" max="14606" width="8.42578125" style="141" bestFit="1" customWidth="1"/>
    <col min="14607" max="14848" width="7.7109375" style="141"/>
    <col min="14849" max="14849" width="28" style="141" customWidth="1"/>
    <col min="14850" max="14850" width="8.28515625" style="141" bestFit="1" customWidth="1"/>
    <col min="14851" max="14851" width="6.7109375" style="141" customWidth="1"/>
    <col min="14852" max="14852" width="1.7109375" style="141" customWidth="1"/>
    <col min="14853" max="14853" width="7.42578125" style="141" customWidth="1"/>
    <col min="14854" max="14854" width="7.28515625" style="141" customWidth="1"/>
    <col min="14855" max="14855" width="7.85546875" style="141" customWidth="1"/>
    <col min="14856" max="14859" width="7" style="141" customWidth="1"/>
    <col min="14860" max="14860" width="8.42578125" style="141" customWidth="1"/>
    <col min="14861" max="14861" width="9.28515625" style="141" customWidth="1"/>
    <col min="14862" max="14862" width="8.42578125" style="141" bestFit="1" customWidth="1"/>
    <col min="14863" max="15104" width="7.7109375" style="141"/>
    <col min="15105" max="15105" width="28" style="141" customWidth="1"/>
    <col min="15106" max="15106" width="8.28515625" style="141" bestFit="1" customWidth="1"/>
    <col min="15107" max="15107" width="6.7109375" style="141" customWidth="1"/>
    <col min="15108" max="15108" width="1.7109375" style="141" customWidth="1"/>
    <col min="15109" max="15109" width="7.42578125" style="141" customWidth="1"/>
    <col min="15110" max="15110" width="7.28515625" style="141" customWidth="1"/>
    <col min="15111" max="15111" width="7.85546875" style="141" customWidth="1"/>
    <col min="15112" max="15115" width="7" style="141" customWidth="1"/>
    <col min="15116" max="15116" width="8.42578125" style="141" customWidth="1"/>
    <col min="15117" max="15117" width="9.28515625" style="141" customWidth="1"/>
    <col min="15118" max="15118" width="8.42578125" style="141" bestFit="1" customWidth="1"/>
    <col min="15119" max="15360" width="7.7109375" style="141"/>
    <col min="15361" max="15361" width="28" style="141" customWidth="1"/>
    <col min="15362" max="15362" width="8.28515625" style="141" bestFit="1" customWidth="1"/>
    <col min="15363" max="15363" width="6.7109375" style="141" customWidth="1"/>
    <col min="15364" max="15364" width="1.7109375" style="141" customWidth="1"/>
    <col min="15365" max="15365" width="7.42578125" style="141" customWidth="1"/>
    <col min="15366" max="15366" width="7.28515625" style="141" customWidth="1"/>
    <col min="15367" max="15367" width="7.85546875" style="141" customWidth="1"/>
    <col min="15368" max="15371" width="7" style="141" customWidth="1"/>
    <col min="15372" max="15372" width="8.42578125" style="141" customWidth="1"/>
    <col min="15373" max="15373" width="9.28515625" style="141" customWidth="1"/>
    <col min="15374" max="15374" width="8.42578125" style="141" bestFit="1" customWidth="1"/>
    <col min="15375" max="15616" width="7.7109375" style="141"/>
    <col min="15617" max="15617" width="28" style="141" customWidth="1"/>
    <col min="15618" max="15618" width="8.28515625" style="141" bestFit="1" customWidth="1"/>
    <col min="15619" max="15619" width="6.7109375" style="141" customWidth="1"/>
    <col min="15620" max="15620" width="1.7109375" style="141" customWidth="1"/>
    <col min="15621" max="15621" width="7.42578125" style="141" customWidth="1"/>
    <col min="15622" max="15622" width="7.28515625" style="141" customWidth="1"/>
    <col min="15623" max="15623" width="7.85546875" style="141" customWidth="1"/>
    <col min="15624" max="15627" width="7" style="141" customWidth="1"/>
    <col min="15628" max="15628" width="8.42578125" style="141" customWidth="1"/>
    <col min="15629" max="15629" width="9.28515625" style="141" customWidth="1"/>
    <col min="15630" max="15630" width="8.42578125" style="141" bestFit="1" customWidth="1"/>
    <col min="15631" max="15872" width="7.7109375" style="141"/>
    <col min="15873" max="15873" width="28" style="141" customWidth="1"/>
    <col min="15874" max="15874" width="8.28515625" style="141" bestFit="1" customWidth="1"/>
    <col min="15875" max="15875" width="6.7109375" style="141" customWidth="1"/>
    <col min="15876" max="15876" width="1.7109375" style="141" customWidth="1"/>
    <col min="15877" max="15877" width="7.42578125" style="141" customWidth="1"/>
    <col min="15878" max="15878" width="7.28515625" style="141" customWidth="1"/>
    <col min="15879" max="15879" width="7.85546875" style="141" customWidth="1"/>
    <col min="15880" max="15883" width="7" style="141" customWidth="1"/>
    <col min="15884" max="15884" width="8.42578125" style="141" customWidth="1"/>
    <col min="15885" max="15885" width="9.28515625" style="141" customWidth="1"/>
    <col min="15886" max="15886" width="8.42578125" style="141" bestFit="1" customWidth="1"/>
    <col min="15887" max="16128" width="7.7109375" style="141"/>
    <col min="16129" max="16129" width="28" style="141" customWidth="1"/>
    <col min="16130" max="16130" width="8.28515625" style="141" bestFit="1" customWidth="1"/>
    <col min="16131" max="16131" width="6.7109375" style="141" customWidth="1"/>
    <col min="16132" max="16132" width="1.7109375" style="141" customWidth="1"/>
    <col min="16133" max="16133" width="7.42578125" style="141" customWidth="1"/>
    <col min="16134" max="16134" width="7.28515625" style="141" customWidth="1"/>
    <col min="16135" max="16135" width="7.85546875" style="141" customWidth="1"/>
    <col min="16136" max="16139" width="7" style="141" customWidth="1"/>
    <col min="16140" max="16140" width="8.42578125" style="141" customWidth="1"/>
    <col min="16141" max="16141" width="9.28515625" style="141" customWidth="1"/>
    <col min="16142" max="16142" width="8.42578125" style="141" bestFit="1" customWidth="1"/>
    <col min="16143" max="16384" width="7.7109375" style="141"/>
  </cols>
  <sheetData>
    <row r="1" spans="1:16" s="139" customFormat="1" x14ac:dyDescent="0.2">
      <c r="A1" s="514" t="s">
        <v>256</v>
      </c>
      <c r="B1" s="515"/>
      <c r="C1" s="515"/>
      <c r="D1" s="515"/>
      <c r="E1" s="515"/>
      <c r="F1" s="515"/>
      <c r="G1" s="515"/>
      <c r="H1" s="515"/>
      <c r="I1" s="515"/>
      <c r="J1" s="515"/>
      <c r="K1" s="515"/>
      <c r="L1" s="515"/>
    </row>
    <row r="2" spans="1:16" ht="10.5" customHeight="1" x14ac:dyDescent="0.2">
      <c r="A2" s="140"/>
      <c r="B2" s="140"/>
      <c r="C2" s="140"/>
      <c r="D2" s="140"/>
      <c r="E2" s="140"/>
      <c r="F2" s="140"/>
      <c r="G2" s="140"/>
      <c r="H2" s="140"/>
      <c r="I2" s="140"/>
      <c r="J2" s="140"/>
      <c r="K2" s="140"/>
      <c r="L2" s="140"/>
      <c r="M2" s="140"/>
      <c r="N2" s="140"/>
    </row>
    <row r="3" spans="1:16" s="142" customFormat="1" ht="29.25" customHeight="1" x14ac:dyDescent="0.2">
      <c r="A3" s="516" t="s">
        <v>257</v>
      </c>
      <c r="B3" s="519" t="s">
        <v>258</v>
      </c>
      <c r="C3" s="519"/>
      <c r="D3" s="519"/>
      <c r="E3" s="519"/>
      <c r="F3" s="519"/>
      <c r="G3" s="520"/>
      <c r="H3" s="520"/>
      <c r="I3" s="520"/>
      <c r="J3" s="520"/>
      <c r="K3" s="520"/>
      <c r="L3" s="520"/>
      <c r="M3" s="520"/>
      <c r="N3" s="521"/>
    </row>
    <row r="4" spans="1:16" s="142" customFormat="1" ht="14.25" customHeight="1" x14ac:dyDescent="0.2">
      <c r="A4" s="517"/>
      <c r="B4" s="519">
        <v>2015</v>
      </c>
      <c r="C4" s="522"/>
      <c r="D4" s="143"/>
      <c r="E4" s="519">
        <v>2016</v>
      </c>
      <c r="F4" s="521"/>
      <c r="G4" s="521"/>
      <c r="H4" s="521"/>
      <c r="I4" s="521"/>
      <c r="J4" s="521"/>
      <c r="K4" s="521"/>
      <c r="L4" s="521"/>
      <c r="M4" s="521"/>
      <c r="N4" s="523"/>
    </row>
    <row r="5" spans="1:16" s="142" customFormat="1" ht="15.75" customHeight="1" x14ac:dyDescent="0.2">
      <c r="A5" s="518"/>
      <c r="B5" s="144" t="s">
        <v>259</v>
      </c>
      <c r="C5" s="144" t="s">
        <v>260</v>
      </c>
      <c r="D5" s="145"/>
      <c r="E5" s="144" t="s">
        <v>261</v>
      </c>
      <c r="F5" s="144" t="s">
        <v>262</v>
      </c>
      <c r="G5" s="144" t="s">
        <v>263</v>
      </c>
      <c r="H5" s="144" t="s">
        <v>264</v>
      </c>
      <c r="I5" s="144" t="s">
        <v>265</v>
      </c>
      <c r="J5" s="144" t="s">
        <v>266</v>
      </c>
      <c r="K5" s="144" t="s">
        <v>267</v>
      </c>
      <c r="L5" s="144" t="s">
        <v>268</v>
      </c>
      <c r="M5" s="144" t="s">
        <v>269</v>
      </c>
      <c r="N5" s="144" t="s">
        <v>270</v>
      </c>
      <c r="P5" s="142" t="s">
        <v>277</v>
      </c>
    </row>
    <row r="6" spans="1:16" s="142" customFormat="1" ht="11.25" x14ac:dyDescent="0.2"/>
    <row r="7" spans="1:16" s="142" customFormat="1" ht="11.25" x14ac:dyDescent="0.2">
      <c r="A7" s="146" t="s">
        <v>271</v>
      </c>
      <c r="B7" s="147">
        <v>0.85201105311638603</v>
      </c>
      <c r="C7" s="147">
        <v>2.800821980363799</v>
      </c>
      <c r="D7" s="147"/>
      <c r="E7" s="147">
        <v>2.6504775301695371</v>
      </c>
      <c r="F7" s="147">
        <v>2.0194734944103843</v>
      </c>
      <c r="G7" s="147">
        <v>1.2513255567338399</v>
      </c>
      <c r="H7" s="147">
        <v>10.892333472978644</v>
      </c>
      <c r="I7" s="147">
        <v>2.203752675985382</v>
      </c>
      <c r="J7" s="147">
        <v>0.9425825529817633</v>
      </c>
      <c r="K7" s="147">
        <v>0.99481232834910394</v>
      </c>
      <c r="L7" s="147">
        <v>0.46531302876480218</v>
      </c>
      <c r="M7" s="147">
        <v>0.49323308270676769</v>
      </c>
      <c r="N7" s="147">
        <v>4.830310648231273</v>
      </c>
    </row>
    <row r="8" spans="1:16" s="142" customFormat="1" ht="9.75" customHeight="1" x14ac:dyDescent="0.2">
      <c r="B8" s="147"/>
      <c r="C8" s="147"/>
      <c r="D8" s="147"/>
      <c r="E8" s="147"/>
      <c r="F8" s="147"/>
      <c r="G8" s="147"/>
      <c r="H8" s="147"/>
      <c r="I8" s="148"/>
      <c r="J8" s="148"/>
      <c r="K8" s="148"/>
      <c r="L8" s="148"/>
      <c r="M8" s="148"/>
      <c r="N8" s="148"/>
    </row>
    <row r="9" spans="1:16" s="142" customFormat="1" ht="12.75" customHeight="1" x14ac:dyDescent="0.2">
      <c r="A9" s="142" t="s">
        <v>116</v>
      </c>
      <c r="B9" s="148">
        <v>2.0335636722605965</v>
      </c>
      <c r="C9" s="148">
        <v>6.9272445820433681</v>
      </c>
      <c r="D9" s="148"/>
      <c r="E9" s="148">
        <v>6.0441549040897602</v>
      </c>
      <c r="F9" s="148">
        <v>3.037542662116044</v>
      </c>
      <c r="G9" s="148">
        <v>1.805233521033478</v>
      </c>
      <c r="H9" s="148">
        <v>2.0660484789327915</v>
      </c>
      <c r="I9" s="148">
        <v>1.8648390181702279</v>
      </c>
      <c r="J9" s="148">
        <v>0.75105617274291436</v>
      </c>
      <c r="K9" s="148">
        <v>2.3295542786146983</v>
      </c>
      <c r="L9" s="148">
        <v>0.86507816057066478</v>
      </c>
      <c r="M9" s="148">
        <v>1.1962082455612366</v>
      </c>
      <c r="N9" s="148">
        <v>1.4571407330310038</v>
      </c>
      <c r="P9" s="148">
        <f>+SUM(B9:N9)</f>
        <v>30.377664429166785</v>
      </c>
    </row>
    <row r="10" spans="1:16" s="142" customFormat="1" ht="12.75" customHeight="1" x14ac:dyDescent="0.2">
      <c r="A10" s="142" t="s">
        <v>272</v>
      </c>
      <c r="B10" s="148">
        <v>0.14994377108585866</v>
      </c>
      <c r="C10" s="148">
        <v>0.25577043044291425</v>
      </c>
      <c r="D10" s="148"/>
      <c r="E10" s="148">
        <v>0.22400597349263585</v>
      </c>
      <c r="F10" s="148">
        <v>0.15521201961878894</v>
      </c>
      <c r="G10" s="148">
        <v>0.60128936275725131</v>
      </c>
      <c r="H10" s="148">
        <v>18.319058475568429</v>
      </c>
      <c r="I10" s="148">
        <v>2.2601812311217495</v>
      </c>
      <c r="J10" s="148">
        <v>0.59584436748829628</v>
      </c>
      <c r="K10" s="148">
        <v>-9.6187920822143891E-2</v>
      </c>
      <c r="L10" s="149" t="s">
        <v>273</v>
      </c>
      <c r="M10" s="149" t="s">
        <v>273</v>
      </c>
      <c r="N10" s="149">
        <v>7.0621612037083947</v>
      </c>
      <c r="P10" s="148">
        <f>+SUM(B10:N10)</f>
        <v>29.527278914462176</v>
      </c>
    </row>
    <row r="11" spans="1:16" s="142" customFormat="1" ht="11.25" x14ac:dyDescent="0.2">
      <c r="A11" s="150" t="s">
        <v>274</v>
      </c>
      <c r="B11" s="151">
        <v>0.50302601587677298</v>
      </c>
      <c r="C11" s="151">
        <v>1.8847266755298353</v>
      </c>
      <c r="D11" s="151"/>
      <c r="E11" s="151">
        <v>3.1086889775867377</v>
      </c>
      <c r="F11" s="151">
        <v>9.3575522965830373</v>
      </c>
      <c r="G11" s="151">
        <v>2.6480599046970754</v>
      </c>
      <c r="H11" s="151">
        <v>6.7975329929040429</v>
      </c>
      <c r="I11" s="151">
        <v>3.2973174366616842</v>
      </c>
      <c r="J11" s="151">
        <v>3.9855725879170301</v>
      </c>
      <c r="K11" s="151">
        <v>2.2835009827725683</v>
      </c>
      <c r="L11" s="151">
        <v>1.7181936359011996</v>
      </c>
      <c r="M11" s="151">
        <v>0.388953714507978</v>
      </c>
      <c r="N11" s="151">
        <v>5.357834726296562</v>
      </c>
      <c r="P11" s="148">
        <f>+SUM(B11:N11)</f>
        <v>41.330959947234518</v>
      </c>
    </row>
    <row r="12" spans="1:16" s="142" customFormat="1" ht="11.25" x14ac:dyDescent="0.2"/>
    <row r="13" spans="1:16" s="142" customFormat="1" ht="11.25" x14ac:dyDescent="0.2">
      <c r="A13" s="142" t="s">
        <v>275</v>
      </c>
    </row>
    <row r="15" spans="1:16" x14ac:dyDescent="0.2">
      <c r="A15" s="146" t="s">
        <v>276</v>
      </c>
    </row>
  </sheetData>
  <mergeCells count="5">
    <mergeCell ref="A1:L1"/>
    <mergeCell ref="A3:A5"/>
    <mergeCell ref="B3:N3"/>
    <mergeCell ref="B4:C4"/>
    <mergeCell ref="E4:N4"/>
  </mergeCells>
  <pageMargins left="0.39370078740157483" right="0.39370078740157483" top="0.39370078740157483" bottom="0.39370078740157483" header="0" footer="0"/>
  <pageSetup paperSize="9" scale="90" orientation="landscape" horizontalDpi="4294967293" verticalDpi="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22"/>
  <sheetViews>
    <sheetView topLeftCell="A4" workbookViewId="0">
      <selection sqref="A1:XFD1048576"/>
    </sheetView>
  </sheetViews>
  <sheetFormatPr baseColWidth="10" defaultColWidth="11.42578125" defaultRowHeight="15" x14ac:dyDescent="0.25"/>
  <cols>
    <col min="1" max="1" width="3.5703125" style="88" customWidth="1"/>
    <col min="2" max="2" width="21.85546875" style="88" customWidth="1"/>
    <col min="3" max="5" width="11.5703125" style="88" bestFit="1" customWidth="1"/>
    <col min="6" max="6" width="13" style="152" bestFit="1" customWidth="1"/>
    <col min="7" max="16384" width="11.42578125" style="88"/>
  </cols>
  <sheetData>
    <row r="2" spans="2:6" x14ac:dyDescent="0.25">
      <c r="B2" s="127" t="s">
        <v>294</v>
      </c>
    </row>
    <row r="4" spans="2:6" x14ac:dyDescent="0.25">
      <c r="B4" s="88" t="s">
        <v>298</v>
      </c>
      <c r="C4" s="153">
        <v>42186</v>
      </c>
    </row>
    <row r="5" spans="2:6" x14ac:dyDescent="0.25">
      <c r="B5" s="88" t="s">
        <v>304</v>
      </c>
      <c r="C5" s="154">
        <v>0.3</v>
      </c>
      <c r="D5" s="88" t="s">
        <v>305</v>
      </c>
    </row>
    <row r="6" spans="2:6" x14ac:dyDescent="0.25">
      <c r="B6" s="88" t="s">
        <v>306</v>
      </c>
      <c r="C6" s="154">
        <v>0.15</v>
      </c>
    </row>
    <row r="7" spans="2:6" x14ac:dyDescent="0.25">
      <c r="B7" s="88" t="s">
        <v>310</v>
      </c>
      <c r="C7" s="102">
        <v>200</v>
      </c>
    </row>
    <row r="9" spans="2:6" x14ac:dyDescent="0.25">
      <c r="C9" s="524" t="s">
        <v>308</v>
      </c>
      <c r="D9" s="524"/>
      <c r="E9" s="524"/>
    </row>
    <row r="10" spans="2:6" s="155" customFormat="1" ht="41.25" customHeight="1" x14ac:dyDescent="0.25">
      <c r="B10" s="129" t="s">
        <v>297</v>
      </c>
      <c r="C10" s="129" t="s">
        <v>309</v>
      </c>
      <c r="D10" s="129" t="s">
        <v>249</v>
      </c>
      <c r="E10" s="129" t="s">
        <v>307</v>
      </c>
      <c r="F10" s="129" t="s">
        <v>311</v>
      </c>
    </row>
    <row r="11" spans="2:6" x14ac:dyDescent="0.25">
      <c r="B11" s="127" t="s">
        <v>295</v>
      </c>
    </row>
    <row r="12" spans="2:6" x14ac:dyDescent="0.25">
      <c r="B12" s="122" t="s">
        <v>296</v>
      </c>
      <c r="C12" s="126">
        <v>248</v>
      </c>
      <c r="D12" s="126">
        <f>+C12*(1+$C$5)</f>
        <v>322.40000000000003</v>
      </c>
      <c r="E12" s="126">
        <f>+D12*(1+$C$6)</f>
        <v>370.76</v>
      </c>
      <c r="F12" s="156">
        <f>+E12*$C$7</f>
        <v>74152</v>
      </c>
    </row>
    <row r="13" spans="2:6" x14ac:dyDescent="0.25">
      <c r="B13" s="122" t="s">
        <v>299</v>
      </c>
      <c r="C13" s="126">
        <v>157</v>
      </c>
      <c r="D13" s="126">
        <f>+C13*(1+$C$5)</f>
        <v>204.1</v>
      </c>
      <c r="E13" s="126">
        <f>+D13*(1+$C$6)</f>
        <v>234.71499999999997</v>
      </c>
      <c r="F13" s="156">
        <f t="shared" ref="F13:F17" si="0">+E13*$C$7</f>
        <v>46942.999999999993</v>
      </c>
    </row>
    <row r="14" spans="2:6" x14ac:dyDescent="0.25">
      <c r="B14" s="122" t="s">
        <v>300</v>
      </c>
      <c r="C14" s="126">
        <v>132</v>
      </c>
      <c r="D14" s="126">
        <f>+C14*(1+$C$5)</f>
        <v>171.6</v>
      </c>
      <c r="E14" s="126">
        <f>+D14*(1+$C$6)</f>
        <v>197.33999999999997</v>
      </c>
      <c r="F14" s="156">
        <f t="shared" si="0"/>
        <v>39467.999999999993</v>
      </c>
    </row>
    <row r="15" spans="2:6" x14ac:dyDescent="0.25">
      <c r="B15" s="127" t="s">
        <v>301</v>
      </c>
      <c r="C15" s="157"/>
      <c r="D15" s="157"/>
      <c r="E15" s="157"/>
      <c r="F15" s="158"/>
    </row>
    <row r="16" spans="2:6" x14ac:dyDescent="0.25">
      <c r="B16" s="122" t="s">
        <v>302</v>
      </c>
      <c r="C16" s="126">
        <v>747</v>
      </c>
      <c r="D16" s="126">
        <f>+C16*(1+$C$5)</f>
        <v>971.1</v>
      </c>
      <c r="E16" s="126">
        <f>+D16*(1+$C$6)</f>
        <v>1116.7649999999999</v>
      </c>
      <c r="F16" s="156">
        <f t="shared" si="0"/>
        <v>223352.99999999997</v>
      </c>
    </row>
    <row r="17" spans="2:6" x14ac:dyDescent="0.25">
      <c r="B17" s="122" t="s">
        <v>303</v>
      </c>
      <c r="C17" s="126">
        <v>742</v>
      </c>
      <c r="D17" s="126">
        <f>+C17*(1+$C$5)</f>
        <v>964.6</v>
      </c>
      <c r="E17" s="126">
        <f>+D17*(1+$C$6)</f>
        <v>1109.29</v>
      </c>
      <c r="F17" s="156">
        <f t="shared" si="0"/>
        <v>221858</v>
      </c>
    </row>
    <row r="19" spans="2:6" x14ac:dyDescent="0.25">
      <c r="B19" s="127" t="s">
        <v>312</v>
      </c>
    </row>
    <row r="20" spans="2:6" x14ac:dyDescent="0.25">
      <c r="B20" s="122" t="s">
        <v>313</v>
      </c>
      <c r="C20" s="122">
        <v>1</v>
      </c>
      <c r="D20" s="122"/>
      <c r="E20" s="122"/>
      <c r="F20" s="156">
        <f>+F12*C20</f>
        <v>74152</v>
      </c>
    </row>
    <row r="21" spans="2:6" x14ac:dyDescent="0.25">
      <c r="B21" s="122" t="s">
        <v>314</v>
      </c>
      <c r="C21" s="122">
        <v>2</v>
      </c>
      <c r="D21" s="122"/>
      <c r="E21" s="122"/>
      <c r="F21" s="156">
        <f>+F13*C21</f>
        <v>93885.999999999985</v>
      </c>
    </row>
    <row r="22" spans="2:6" x14ac:dyDescent="0.25">
      <c r="B22" s="122" t="s">
        <v>315</v>
      </c>
      <c r="C22" s="122"/>
      <c r="D22" s="122"/>
      <c r="E22" s="122"/>
      <c r="F22" s="156">
        <f>SUM(F20:F21)</f>
        <v>168038</v>
      </c>
    </row>
  </sheetData>
  <mergeCells count="1">
    <mergeCell ref="C9:E9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O36"/>
  <sheetViews>
    <sheetView showGridLines="0" view="pageBreakPreview" topLeftCell="A12" zoomScale="115" zoomScaleSheetLayoutView="115" workbookViewId="0">
      <selection activeCell="E10" sqref="E10"/>
    </sheetView>
  </sheetViews>
  <sheetFormatPr baseColWidth="10" defaultRowHeight="15" x14ac:dyDescent="0.25"/>
  <cols>
    <col min="1" max="1" width="11.28515625" customWidth="1"/>
    <col min="2" max="2" width="72.140625" customWidth="1"/>
    <col min="3" max="3" width="9.42578125" customWidth="1"/>
    <col min="4" max="4" width="11.28515625" customWidth="1"/>
    <col min="5" max="6" width="14" customWidth="1"/>
    <col min="7" max="7" width="12.7109375" bestFit="1" customWidth="1"/>
  </cols>
  <sheetData>
    <row r="1" spans="1:15" ht="18" x14ac:dyDescent="0.25">
      <c r="A1" s="1" t="s">
        <v>25</v>
      </c>
      <c r="B1" s="64" t="s">
        <v>73</v>
      </c>
      <c r="C1" s="3"/>
      <c r="D1" s="3"/>
      <c r="E1" s="2"/>
      <c r="F1" s="2"/>
    </row>
    <row r="2" spans="1:15" ht="18" x14ac:dyDescent="0.25">
      <c r="A2" s="64"/>
      <c r="B2" s="64" t="s">
        <v>76</v>
      </c>
      <c r="C2" s="3"/>
      <c r="D2" s="3"/>
      <c r="E2" s="2"/>
      <c r="F2" s="2"/>
    </row>
    <row r="3" spans="1:15" ht="18" x14ac:dyDescent="0.25">
      <c r="A3" s="1" t="s">
        <v>63</v>
      </c>
      <c r="B3" s="64" t="s">
        <v>64</v>
      </c>
      <c r="C3" s="3"/>
      <c r="D3" s="3"/>
      <c r="E3" s="2"/>
      <c r="F3" s="2"/>
      <c r="M3" t="s">
        <v>68</v>
      </c>
    </row>
    <row r="4" spans="1:15" x14ac:dyDescent="0.25">
      <c r="A4" s="2"/>
      <c r="B4" s="2"/>
      <c r="C4" s="3"/>
      <c r="D4" s="3"/>
      <c r="E4" s="2"/>
      <c r="F4" s="2"/>
      <c r="L4" t="s">
        <v>70</v>
      </c>
      <c r="M4" t="s">
        <v>69</v>
      </c>
      <c r="N4" t="s">
        <v>46</v>
      </c>
    </row>
    <row r="5" spans="1:15" ht="20.25" x14ac:dyDescent="0.25">
      <c r="A5" s="462" t="s">
        <v>0</v>
      </c>
      <c r="B5" s="462"/>
      <c r="C5" s="462"/>
      <c r="D5" s="462"/>
      <c r="E5" s="462"/>
      <c r="F5" s="462"/>
      <c r="L5">
        <v>1</v>
      </c>
      <c r="M5">
        <v>12.5</v>
      </c>
      <c r="N5">
        <v>2.5</v>
      </c>
      <c r="O5">
        <f>+M5*N5</f>
        <v>31.25</v>
      </c>
    </row>
    <row r="6" spans="1:15" x14ac:dyDescent="0.25">
      <c r="A6" s="2"/>
      <c r="B6" s="2"/>
      <c r="C6" s="3"/>
      <c r="D6" s="3"/>
      <c r="E6" s="2"/>
      <c r="F6" s="2"/>
      <c r="L6">
        <v>2</v>
      </c>
      <c r="M6">
        <v>12.5</v>
      </c>
      <c r="N6">
        <v>2.5</v>
      </c>
      <c r="O6">
        <f t="shared" ref="O6:O8" si="0">+M6*N6</f>
        <v>31.25</v>
      </c>
    </row>
    <row r="7" spans="1:15" ht="25.5" x14ac:dyDescent="0.25">
      <c r="A7" s="4" t="s">
        <v>1</v>
      </c>
      <c r="B7" s="5" t="s">
        <v>2</v>
      </c>
      <c r="C7" s="6" t="s">
        <v>3</v>
      </c>
      <c r="D7" s="7" t="s">
        <v>5</v>
      </c>
      <c r="E7" s="7" t="s">
        <v>4</v>
      </c>
      <c r="F7" s="7" t="s">
        <v>6</v>
      </c>
      <c r="L7">
        <v>3</v>
      </c>
      <c r="M7">
        <v>10.199999999999999</v>
      </c>
      <c r="N7">
        <v>2.5</v>
      </c>
      <c r="O7">
        <f t="shared" si="0"/>
        <v>25.5</v>
      </c>
    </row>
    <row r="8" spans="1:15" x14ac:dyDescent="0.25">
      <c r="A8" s="8">
        <v>1</v>
      </c>
      <c r="B8" s="9" t="s">
        <v>26</v>
      </c>
      <c r="C8" s="10"/>
      <c r="D8" s="11"/>
      <c r="E8" s="11"/>
      <c r="F8" s="12"/>
      <c r="L8">
        <v>4</v>
      </c>
      <c r="M8">
        <v>10.199999999999999</v>
      </c>
      <c r="N8">
        <v>2.5</v>
      </c>
      <c r="O8">
        <f t="shared" si="0"/>
        <v>25.5</v>
      </c>
    </row>
    <row r="9" spans="1:15" x14ac:dyDescent="0.25">
      <c r="A9" s="15" t="s">
        <v>7</v>
      </c>
      <c r="B9" s="16" t="s">
        <v>28</v>
      </c>
      <c r="C9" s="17" t="s">
        <v>30</v>
      </c>
      <c r="D9" s="40">
        <v>1</v>
      </c>
      <c r="E9" s="18" t="e">
        <f>+#REF!</f>
        <v>#REF!</v>
      </c>
      <c r="F9" s="19" t="e">
        <f>+D9*E9</f>
        <v>#REF!</v>
      </c>
      <c r="O9">
        <f>SUM(O5:O8)</f>
        <v>113.5</v>
      </c>
    </row>
    <row r="10" spans="1:15" x14ac:dyDescent="0.25">
      <c r="A10" s="15" t="s">
        <v>27</v>
      </c>
      <c r="B10" s="20" t="s">
        <v>52</v>
      </c>
      <c r="C10" s="17" t="s">
        <v>30</v>
      </c>
      <c r="D10" s="41">
        <v>1</v>
      </c>
      <c r="E10" s="21" t="e">
        <f>+#REF!</f>
        <v>#REF!</v>
      </c>
      <c r="F10" s="22" t="e">
        <f>+D10*E10</f>
        <v>#REF!</v>
      </c>
    </row>
    <row r="11" spans="1:15" x14ac:dyDescent="0.25">
      <c r="A11" s="8">
        <v>2</v>
      </c>
      <c r="B11" s="9" t="s">
        <v>42</v>
      </c>
      <c r="C11" s="10"/>
      <c r="D11" s="42"/>
      <c r="E11" s="23"/>
      <c r="F11" s="24"/>
    </row>
    <row r="12" spans="1:15" x14ac:dyDescent="0.25">
      <c r="A12" s="27" t="s">
        <v>8</v>
      </c>
      <c r="B12" s="28" t="s">
        <v>41</v>
      </c>
      <c r="C12" s="17" t="s">
        <v>30</v>
      </c>
      <c r="D12" s="44">
        <v>1</v>
      </c>
      <c r="E12" s="29">
        <f>0.01*3000000</f>
        <v>30000</v>
      </c>
      <c r="F12" s="30">
        <f>+D12*E12</f>
        <v>30000</v>
      </c>
      <c r="I12" t="s">
        <v>46</v>
      </c>
      <c r="J12" t="s">
        <v>47</v>
      </c>
    </row>
    <row r="13" spans="1:15" x14ac:dyDescent="0.25">
      <c r="A13" s="8">
        <v>3</v>
      </c>
      <c r="B13" s="9" t="s">
        <v>43</v>
      </c>
      <c r="C13" s="10"/>
      <c r="D13" s="42"/>
      <c r="E13" s="23"/>
      <c r="F13" s="24"/>
    </row>
    <row r="14" spans="1:15" x14ac:dyDescent="0.25">
      <c r="A14" s="27"/>
      <c r="B14" s="28" t="s">
        <v>77</v>
      </c>
      <c r="C14" s="17" t="s">
        <v>30</v>
      </c>
      <c r="D14" s="49">
        <v>1</v>
      </c>
      <c r="E14" s="29" t="e">
        <f>+#REF!</f>
        <v>#REF!</v>
      </c>
      <c r="F14" s="30" t="e">
        <f>+D14*E14</f>
        <v>#REF!</v>
      </c>
      <c r="H14" t="s">
        <v>45</v>
      </c>
      <c r="I14">
        <v>2.7</v>
      </c>
      <c r="J14">
        <v>5</v>
      </c>
      <c r="K14">
        <f>+I14*J14</f>
        <v>13.5</v>
      </c>
    </row>
    <row r="15" spans="1:15" x14ac:dyDescent="0.25">
      <c r="A15" s="27"/>
      <c r="B15" s="28"/>
      <c r="C15" s="46"/>
      <c r="D15" s="49"/>
      <c r="E15" s="29"/>
      <c r="F15" s="30"/>
      <c r="G15" s="50" t="e">
        <f>SUM(F14:F15)</f>
        <v>#REF!</v>
      </c>
      <c r="H15" t="s">
        <v>53</v>
      </c>
      <c r="I15">
        <v>4.8</v>
      </c>
      <c r="J15">
        <v>10</v>
      </c>
      <c r="K15">
        <f>+I15*J15</f>
        <v>48</v>
      </c>
    </row>
    <row r="16" spans="1:15" x14ac:dyDescent="0.25">
      <c r="A16" s="8">
        <v>4</v>
      </c>
      <c r="B16" s="9" t="s">
        <v>31</v>
      </c>
      <c r="C16" s="10"/>
      <c r="D16" s="42"/>
      <c r="E16" s="23"/>
      <c r="F16" s="24"/>
    </row>
    <row r="17" spans="1:8" x14ac:dyDescent="0.25">
      <c r="A17" s="51" t="s">
        <v>9</v>
      </c>
      <c r="B17" s="52" t="s">
        <v>44</v>
      </c>
      <c r="C17" s="53" t="s">
        <v>30</v>
      </c>
      <c r="D17" s="54">
        <v>1</v>
      </c>
      <c r="E17" s="55" t="e">
        <f>+#REF!*60*4*2</f>
        <v>#REF!</v>
      </c>
      <c r="F17" s="56" t="e">
        <f>+D17*E17</f>
        <v>#REF!</v>
      </c>
    </row>
    <row r="18" spans="1:8" x14ac:dyDescent="0.25">
      <c r="A18" s="27" t="s">
        <v>10</v>
      </c>
      <c r="B18" s="28" t="s">
        <v>48</v>
      </c>
      <c r="C18" s="46" t="s">
        <v>29</v>
      </c>
      <c r="D18" s="48">
        <f>160*2*2.5</f>
        <v>800</v>
      </c>
      <c r="E18" s="67" t="e">
        <f>+#REF!</f>
        <v>#REF!</v>
      </c>
      <c r="F18" s="30" t="e">
        <f t="shared" ref="F18:F20" si="1">+D18*E18</f>
        <v>#REF!</v>
      </c>
    </row>
    <row r="19" spans="1:8" x14ac:dyDescent="0.25">
      <c r="A19" s="27" t="s">
        <v>11</v>
      </c>
      <c r="B19" s="28" t="s">
        <v>35</v>
      </c>
      <c r="C19" s="46" t="s">
        <v>29</v>
      </c>
      <c r="D19" s="44">
        <f>160*2</f>
        <v>320</v>
      </c>
      <c r="E19" s="29" t="e">
        <f>+#REF!</f>
        <v>#REF!</v>
      </c>
      <c r="F19" s="30" t="e">
        <f t="shared" si="1"/>
        <v>#REF!</v>
      </c>
    </row>
    <row r="20" spans="1:8" x14ac:dyDescent="0.25">
      <c r="A20" s="27" t="s">
        <v>51</v>
      </c>
      <c r="B20" s="65" t="s">
        <v>66</v>
      </c>
      <c r="C20" s="46" t="s">
        <v>30</v>
      </c>
      <c r="D20" s="44">
        <v>1</v>
      </c>
      <c r="E20" s="29" t="e">
        <f>+#REF!*1.5</f>
        <v>#REF!</v>
      </c>
      <c r="F20" s="30" t="e">
        <f t="shared" si="1"/>
        <v>#REF!</v>
      </c>
      <c r="G20" s="50" t="e">
        <f>SUM(F17:F20)</f>
        <v>#REF!</v>
      </c>
      <c r="H20" t="e">
        <f>+G20/D18</f>
        <v>#REF!</v>
      </c>
    </row>
    <row r="21" spans="1:8" x14ac:dyDescent="0.25">
      <c r="A21" s="34">
        <v>5</v>
      </c>
      <c r="B21" s="32" t="s">
        <v>54</v>
      </c>
      <c r="C21" s="14"/>
      <c r="D21" s="43"/>
      <c r="E21" s="25"/>
      <c r="F21" s="26"/>
    </row>
    <row r="22" spans="1:8" x14ac:dyDescent="0.25">
      <c r="A22" s="27" t="s">
        <v>12</v>
      </c>
      <c r="B22" s="28" t="s">
        <v>56</v>
      </c>
      <c r="C22" s="46"/>
      <c r="D22" s="44"/>
      <c r="E22" s="29"/>
      <c r="F22" s="30"/>
    </row>
    <row r="23" spans="1:8" x14ac:dyDescent="0.25">
      <c r="A23" s="27" t="s">
        <v>13</v>
      </c>
      <c r="B23" s="28" t="s">
        <v>59</v>
      </c>
      <c r="C23" s="46" t="s">
        <v>21</v>
      </c>
      <c r="D23" s="44">
        <f>160*2+20</f>
        <v>340</v>
      </c>
      <c r="E23" s="29" t="e">
        <f>+#REF!</f>
        <v>#REF!</v>
      </c>
      <c r="F23" s="30" t="e">
        <f>+D23*E23</f>
        <v>#REF!</v>
      </c>
    </row>
    <row r="24" spans="1:8" x14ac:dyDescent="0.25">
      <c r="A24" s="27" t="s">
        <v>14</v>
      </c>
      <c r="B24" s="28" t="s">
        <v>61</v>
      </c>
      <c r="C24" s="46" t="s">
        <v>55</v>
      </c>
      <c r="D24" s="48">
        <v>16</v>
      </c>
      <c r="E24" s="29" t="e">
        <f>+#REF!</f>
        <v>#REF!</v>
      </c>
      <c r="F24" s="30" t="e">
        <f t="shared" ref="F24:F27" si="2">+D24*E24</f>
        <v>#REF!</v>
      </c>
    </row>
    <row r="25" spans="1:8" x14ac:dyDescent="0.25">
      <c r="A25" s="27" t="s">
        <v>15</v>
      </c>
      <c r="B25" s="28" t="s">
        <v>74</v>
      </c>
      <c r="C25" s="46"/>
      <c r="D25" s="48"/>
      <c r="E25" s="29"/>
      <c r="F25" s="30">
        <f t="shared" si="2"/>
        <v>0</v>
      </c>
    </row>
    <row r="26" spans="1:8" x14ac:dyDescent="0.25">
      <c r="A26" s="27" t="s">
        <v>16</v>
      </c>
      <c r="B26" s="28" t="s">
        <v>75</v>
      </c>
      <c r="C26" s="46" t="s">
        <v>30</v>
      </c>
      <c r="D26" s="49">
        <v>1</v>
      </c>
      <c r="E26" s="29" t="e">
        <f>+#REF!+70000</f>
        <v>#REF!</v>
      </c>
      <c r="F26" s="30" t="e">
        <f t="shared" si="2"/>
        <v>#REF!</v>
      </c>
    </row>
    <row r="27" spans="1:8" x14ac:dyDescent="0.25">
      <c r="A27" s="27" t="s">
        <v>60</v>
      </c>
      <c r="B27" s="28" t="s">
        <v>58</v>
      </c>
      <c r="C27" s="46" t="s">
        <v>67</v>
      </c>
      <c r="D27" s="49">
        <v>2</v>
      </c>
      <c r="E27" s="29" t="e">
        <f>+#REF!</f>
        <v>#REF!</v>
      </c>
      <c r="F27" s="30" t="e">
        <f t="shared" si="2"/>
        <v>#REF!</v>
      </c>
    </row>
    <row r="28" spans="1:8" x14ac:dyDescent="0.25">
      <c r="A28" s="34">
        <v>6</v>
      </c>
      <c r="B28" s="13" t="s">
        <v>32</v>
      </c>
      <c r="C28" s="14"/>
      <c r="D28" s="43"/>
      <c r="E28" s="25"/>
      <c r="F28" s="26"/>
    </row>
    <row r="29" spans="1:8" x14ac:dyDescent="0.25">
      <c r="A29" s="15" t="s">
        <v>17</v>
      </c>
      <c r="B29" s="16" t="s">
        <v>49</v>
      </c>
      <c r="C29" s="17" t="s">
        <v>29</v>
      </c>
      <c r="D29" s="45">
        <v>160</v>
      </c>
      <c r="E29" s="33" t="e">
        <f>+#REF!</f>
        <v>#REF!</v>
      </c>
      <c r="F29" s="31" t="e">
        <f>+D29*E29</f>
        <v>#REF!</v>
      </c>
    </row>
    <row r="30" spans="1:8" x14ac:dyDescent="0.25">
      <c r="A30" s="15" t="s">
        <v>36</v>
      </c>
      <c r="B30" s="28" t="s">
        <v>65</v>
      </c>
      <c r="C30" s="46" t="s">
        <v>34</v>
      </c>
      <c r="D30" s="44">
        <v>2</v>
      </c>
      <c r="E30" s="47" t="e">
        <f>+#REF!</f>
        <v>#REF!</v>
      </c>
      <c r="F30" s="31" t="e">
        <f t="shared" ref="F30:F31" si="3">+D30*E30</f>
        <v>#REF!</v>
      </c>
    </row>
    <row r="31" spans="1:8" x14ac:dyDescent="0.25">
      <c r="A31" s="27" t="s">
        <v>37</v>
      </c>
      <c r="B31" s="66" t="s">
        <v>57</v>
      </c>
      <c r="C31" s="46" t="s">
        <v>30</v>
      </c>
      <c r="D31" s="44">
        <v>1</v>
      </c>
      <c r="E31" s="47">
        <v>50000</v>
      </c>
      <c r="F31" s="30">
        <f t="shared" si="3"/>
        <v>50000</v>
      </c>
    </row>
    <row r="32" spans="1:8" x14ac:dyDescent="0.25">
      <c r="A32" s="34">
        <v>7</v>
      </c>
      <c r="B32" s="13" t="s">
        <v>33</v>
      </c>
      <c r="C32" s="14"/>
      <c r="D32" s="43"/>
      <c r="E32" s="25"/>
      <c r="F32" s="26"/>
    </row>
    <row r="33" spans="1:7" x14ac:dyDescent="0.25">
      <c r="A33" s="15" t="s">
        <v>18</v>
      </c>
      <c r="B33" s="16" t="s">
        <v>50</v>
      </c>
      <c r="C33" s="17" t="s">
        <v>20</v>
      </c>
      <c r="D33" s="45">
        <v>180</v>
      </c>
      <c r="E33" s="33" t="e">
        <f>+#REF!</f>
        <v>#REF!</v>
      </c>
      <c r="F33" s="31" t="e">
        <f>+D33*E33</f>
        <v>#REF!</v>
      </c>
    </row>
    <row r="34" spans="1:7" x14ac:dyDescent="0.25">
      <c r="A34" s="35"/>
      <c r="B34" s="36" t="s">
        <v>22</v>
      </c>
      <c r="C34" s="37"/>
      <c r="D34" s="38"/>
      <c r="E34" s="38"/>
      <c r="F34" s="39" t="e">
        <f>SUM(F9:F33)</f>
        <v>#REF!</v>
      </c>
    </row>
    <row r="35" spans="1:7" x14ac:dyDescent="0.25">
      <c r="A35" s="35"/>
      <c r="B35" s="36" t="s">
        <v>23</v>
      </c>
      <c r="C35" s="37"/>
      <c r="D35" s="38"/>
      <c r="E35" s="38"/>
      <c r="F35" s="39" t="e">
        <f>0.21*F34</f>
        <v>#REF!</v>
      </c>
    </row>
    <row r="36" spans="1:7" x14ac:dyDescent="0.25">
      <c r="A36" s="35"/>
      <c r="B36" s="36" t="s">
        <v>24</v>
      </c>
      <c r="C36" s="37"/>
      <c r="D36" s="38"/>
      <c r="E36" s="38"/>
      <c r="F36" s="39" t="e">
        <f>+F34+F35</f>
        <v>#REF!</v>
      </c>
      <c r="G36" t="e">
        <f>+F34/D18</f>
        <v>#REF!</v>
      </c>
    </row>
  </sheetData>
  <mergeCells count="1">
    <mergeCell ref="A5:F5"/>
  </mergeCells>
  <printOptions horizontalCentered="1"/>
  <pageMargins left="0.9055118110236221" right="0.51181102362204722" top="0.94488188976377963" bottom="0.74803149606299213" header="0.31496062992125984" footer="0.31496062992125984"/>
  <pageSetup paperSize="9" scale="66" fitToHeight="2" orientation="portrait" r:id="rId1"/>
  <headerFooter>
    <oddFooter>&amp;LPlanilla de Cotizacion&amp;R&amp;P de &amp;N</oddFooter>
  </headerFooter>
  <drawing r:id="rId2"/>
  <legacyDrawing r:id="rId3"/>
  <oleObjects>
    <mc:AlternateContent xmlns:mc="http://schemas.openxmlformats.org/markup-compatibility/2006">
      <mc:Choice Requires="x14">
        <oleObject progId="PBrush" shapeId="18433" r:id="rId4">
          <objectPr defaultSize="0" autoPict="0" r:id="rId5">
            <anchor moveWithCells="1" sizeWithCells="1">
              <from>
                <xdr:col>4</xdr:col>
                <xdr:colOff>257175</xdr:colOff>
                <xdr:row>0</xdr:row>
                <xdr:rowOff>28575</xdr:rowOff>
              </from>
              <to>
                <xdr:col>5</xdr:col>
                <xdr:colOff>533400</xdr:colOff>
                <xdr:row>2</xdr:row>
                <xdr:rowOff>38100</xdr:rowOff>
              </to>
            </anchor>
          </objectPr>
        </oleObject>
      </mc:Choice>
      <mc:Fallback>
        <oleObject progId="PBrush" shapeId="18433" r:id="rId4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  <pageSetUpPr fitToPage="1"/>
  </sheetPr>
  <dimension ref="A1:O38"/>
  <sheetViews>
    <sheetView showGridLines="0" view="pageBreakPreview" topLeftCell="A14" zoomScale="115" zoomScaleSheetLayoutView="115" workbookViewId="0">
      <selection activeCell="B35" sqref="B35"/>
    </sheetView>
  </sheetViews>
  <sheetFormatPr baseColWidth="10" defaultRowHeight="15" x14ac:dyDescent="0.25"/>
  <cols>
    <col min="1" max="1" width="9.140625" customWidth="1"/>
    <col min="2" max="2" width="66.85546875" customWidth="1"/>
    <col min="3" max="3" width="8.140625" customWidth="1"/>
    <col min="4" max="4" width="10.140625" customWidth="1"/>
    <col min="5" max="5" width="11.140625" customWidth="1"/>
    <col min="6" max="6" width="11.5703125" customWidth="1"/>
    <col min="7" max="7" width="12.7109375" bestFit="1" customWidth="1"/>
  </cols>
  <sheetData>
    <row r="1" spans="1:15" ht="18" x14ac:dyDescent="0.25">
      <c r="A1" s="1" t="s">
        <v>25</v>
      </c>
      <c r="B1" s="64" t="s">
        <v>82</v>
      </c>
      <c r="C1" s="3"/>
      <c r="D1" s="3"/>
      <c r="E1" s="2"/>
      <c r="F1" s="2"/>
    </row>
    <row r="2" spans="1:15" ht="18" x14ac:dyDescent="0.25">
      <c r="A2" s="64"/>
      <c r="B2" s="64" t="s">
        <v>76</v>
      </c>
      <c r="C2" s="3"/>
      <c r="D2" s="3"/>
      <c r="E2" s="2"/>
      <c r="F2" s="2"/>
    </row>
    <row r="3" spans="1:15" ht="18" x14ac:dyDescent="0.25">
      <c r="A3" s="1" t="s">
        <v>63</v>
      </c>
      <c r="B3" s="64" t="s">
        <v>87</v>
      </c>
      <c r="C3" s="3"/>
      <c r="D3" s="3"/>
      <c r="E3" s="2"/>
      <c r="F3" s="2"/>
      <c r="M3" t="s">
        <v>68</v>
      </c>
    </row>
    <row r="4" spans="1:15" ht="18" x14ac:dyDescent="0.25">
      <c r="A4" s="2"/>
      <c r="B4" s="64" t="s">
        <v>64</v>
      </c>
      <c r="C4" s="3"/>
      <c r="D4" s="3"/>
      <c r="E4" s="2"/>
      <c r="F4" s="2"/>
      <c r="L4" t="s">
        <v>70</v>
      </c>
      <c r="M4" t="s">
        <v>69</v>
      </c>
      <c r="N4" t="s">
        <v>46</v>
      </c>
    </row>
    <row r="5" spans="1:15" ht="20.25" x14ac:dyDescent="0.25">
      <c r="A5" s="462" t="s">
        <v>0</v>
      </c>
      <c r="B5" s="462"/>
      <c r="C5" s="462"/>
      <c r="D5" s="462"/>
      <c r="E5" s="462"/>
      <c r="F5" s="462"/>
      <c r="L5">
        <v>1</v>
      </c>
      <c r="M5">
        <v>12.5</v>
      </c>
      <c r="N5">
        <v>2.5</v>
      </c>
      <c r="O5">
        <f>+M5*N5</f>
        <v>31.25</v>
      </c>
    </row>
    <row r="6" spans="1:15" x14ac:dyDescent="0.25">
      <c r="A6" s="2"/>
      <c r="B6" s="2"/>
      <c r="C6" s="3"/>
      <c r="D6" s="3"/>
      <c r="E6" s="2"/>
      <c r="F6" s="2"/>
      <c r="L6">
        <v>2</v>
      </c>
      <c r="M6">
        <v>12.5</v>
      </c>
      <c r="N6">
        <v>2.5</v>
      </c>
      <c r="O6">
        <f t="shared" ref="O6:O8" si="0">+M6*N6</f>
        <v>31.25</v>
      </c>
    </row>
    <row r="7" spans="1:15" ht="25.5" x14ac:dyDescent="0.25">
      <c r="A7" s="4" t="s">
        <v>1</v>
      </c>
      <c r="B7" s="5" t="s">
        <v>2</v>
      </c>
      <c r="C7" s="6" t="s">
        <v>3</v>
      </c>
      <c r="D7" s="7" t="s">
        <v>5</v>
      </c>
      <c r="E7" s="7" t="s">
        <v>4</v>
      </c>
      <c r="F7" s="7" t="s">
        <v>6</v>
      </c>
      <c r="L7">
        <v>3</v>
      </c>
      <c r="M7">
        <v>10.199999999999999</v>
      </c>
      <c r="N7">
        <v>2.5</v>
      </c>
      <c r="O7">
        <f t="shared" si="0"/>
        <v>25.5</v>
      </c>
    </row>
    <row r="8" spans="1:15" x14ac:dyDescent="0.25">
      <c r="A8" s="68">
        <v>1</v>
      </c>
      <c r="B8" s="69" t="s">
        <v>26</v>
      </c>
      <c r="C8" s="70"/>
      <c r="D8" s="69"/>
      <c r="E8" s="69"/>
      <c r="F8" s="71"/>
      <c r="L8">
        <v>4</v>
      </c>
      <c r="M8">
        <v>10.199999999999999</v>
      </c>
      <c r="N8">
        <v>2.5</v>
      </c>
      <c r="O8">
        <f t="shared" si="0"/>
        <v>25.5</v>
      </c>
    </row>
    <row r="9" spans="1:15" x14ac:dyDescent="0.25">
      <c r="A9" s="15" t="s">
        <v>7</v>
      </c>
      <c r="B9" s="16" t="s">
        <v>28</v>
      </c>
      <c r="C9" s="17" t="s">
        <v>30</v>
      </c>
      <c r="D9" s="40">
        <v>1</v>
      </c>
      <c r="E9" s="18"/>
      <c r="F9" s="19">
        <f>+D9*E9</f>
        <v>0</v>
      </c>
      <c r="O9">
        <f>SUM(O5:O8)</f>
        <v>113.5</v>
      </c>
    </row>
    <row r="10" spans="1:15" x14ac:dyDescent="0.25">
      <c r="A10" s="15" t="s">
        <v>27</v>
      </c>
      <c r="B10" s="20" t="s">
        <v>52</v>
      </c>
      <c r="C10" s="17" t="s">
        <v>30</v>
      </c>
      <c r="D10" s="41">
        <v>1</v>
      </c>
      <c r="E10" s="21"/>
      <c r="F10" s="22">
        <f>+D10*E10</f>
        <v>0</v>
      </c>
    </row>
    <row r="11" spans="1:15" x14ac:dyDescent="0.25">
      <c r="A11" s="68">
        <v>2</v>
      </c>
      <c r="B11" s="69" t="s">
        <v>42</v>
      </c>
      <c r="C11" s="70"/>
      <c r="D11" s="72"/>
      <c r="E11" s="73"/>
      <c r="F11" s="74"/>
    </row>
    <row r="12" spans="1:15" x14ac:dyDescent="0.25">
      <c r="A12" s="27" t="s">
        <v>8</v>
      </c>
      <c r="B12" s="28" t="s">
        <v>41</v>
      </c>
      <c r="C12" s="17" t="s">
        <v>30</v>
      </c>
      <c r="D12" s="44">
        <v>1</v>
      </c>
      <c r="E12" s="29"/>
      <c r="F12" s="30">
        <f>+D12*E12</f>
        <v>0</v>
      </c>
    </row>
    <row r="13" spans="1:15" x14ac:dyDescent="0.25">
      <c r="A13" s="68">
        <v>3</v>
      </c>
      <c r="B13" s="69" t="s">
        <v>43</v>
      </c>
      <c r="C13" s="70"/>
      <c r="D13" s="72"/>
      <c r="E13" s="73"/>
      <c r="F13" s="74"/>
    </row>
    <row r="14" spans="1:15" x14ac:dyDescent="0.25">
      <c r="A14" s="27"/>
      <c r="B14" s="28" t="s">
        <v>77</v>
      </c>
      <c r="C14" s="17" t="s">
        <v>30</v>
      </c>
      <c r="D14" s="49">
        <v>1</v>
      </c>
      <c r="E14" s="29"/>
      <c r="F14" s="30">
        <f>+D14*E14</f>
        <v>0</v>
      </c>
    </row>
    <row r="15" spans="1:15" x14ac:dyDescent="0.25">
      <c r="A15" s="68">
        <v>4</v>
      </c>
      <c r="B15" s="69" t="s">
        <v>84</v>
      </c>
      <c r="C15" s="70"/>
      <c r="D15" s="72"/>
      <c r="E15" s="73"/>
      <c r="F15" s="74"/>
    </row>
    <row r="16" spans="1:15" x14ac:dyDescent="0.25">
      <c r="A16" s="27" t="s">
        <v>9</v>
      </c>
      <c r="B16" s="28" t="s">
        <v>83</v>
      </c>
      <c r="C16" s="17" t="s">
        <v>34</v>
      </c>
      <c r="D16" s="49">
        <v>2</v>
      </c>
      <c r="E16" s="29"/>
      <c r="F16" s="30">
        <f>+D16*E16</f>
        <v>0</v>
      </c>
      <c r="G16" s="50"/>
    </row>
    <row r="17" spans="1:8" x14ac:dyDescent="0.25">
      <c r="A17" s="68">
        <v>5</v>
      </c>
      <c r="B17" s="69" t="s">
        <v>31</v>
      </c>
      <c r="C17" s="70"/>
      <c r="D17" s="72"/>
      <c r="E17" s="73"/>
      <c r="F17" s="74"/>
    </row>
    <row r="18" spans="1:8" x14ac:dyDescent="0.25">
      <c r="A18" s="51" t="s">
        <v>12</v>
      </c>
      <c r="B18" s="52" t="s">
        <v>44</v>
      </c>
      <c r="C18" s="53" t="s">
        <v>30</v>
      </c>
      <c r="D18" s="54">
        <v>1</v>
      </c>
      <c r="E18" s="55"/>
      <c r="F18" s="56">
        <f>+D18*E18</f>
        <v>0</v>
      </c>
    </row>
    <row r="19" spans="1:8" x14ac:dyDescent="0.25">
      <c r="A19" s="27" t="s">
        <v>13</v>
      </c>
      <c r="B19" s="28" t="s">
        <v>48</v>
      </c>
      <c r="C19" s="46" t="s">
        <v>29</v>
      </c>
      <c r="D19" s="48">
        <f>160*2*2.5</f>
        <v>800</v>
      </c>
      <c r="E19" s="29"/>
      <c r="F19" s="30">
        <f t="shared" ref="F19:F21" si="1">+D19*E19</f>
        <v>0</v>
      </c>
    </row>
    <row r="20" spans="1:8" x14ac:dyDescent="0.25">
      <c r="A20" s="27" t="s">
        <v>14</v>
      </c>
      <c r="B20" s="28" t="s">
        <v>35</v>
      </c>
      <c r="C20" s="46" t="s">
        <v>29</v>
      </c>
      <c r="D20" s="44">
        <f>160*2</f>
        <v>320</v>
      </c>
      <c r="E20" s="29"/>
      <c r="F20" s="30">
        <f t="shared" si="1"/>
        <v>0</v>
      </c>
    </row>
    <row r="21" spans="1:8" x14ac:dyDescent="0.25">
      <c r="A21" s="27" t="s">
        <v>15</v>
      </c>
      <c r="B21" s="65" t="s">
        <v>66</v>
      </c>
      <c r="C21" s="46" t="s">
        <v>30</v>
      </c>
      <c r="D21" s="44">
        <v>1</v>
      </c>
      <c r="E21" s="29"/>
      <c r="F21" s="30">
        <f t="shared" si="1"/>
        <v>0</v>
      </c>
      <c r="G21" s="50">
        <f>SUM(F18:F21)</f>
        <v>0</v>
      </c>
      <c r="H21">
        <f>+G21/D19</f>
        <v>0</v>
      </c>
    </row>
    <row r="22" spans="1:8" x14ac:dyDescent="0.25">
      <c r="A22" s="58">
        <v>6</v>
      </c>
      <c r="B22" s="75" t="s">
        <v>54</v>
      </c>
      <c r="C22" s="60"/>
      <c r="D22" s="61"/>
      <c r="E22" s="62"/>
      <c r="F22" s="63"/>
    </row>
    <row r="23" spans="1:8" x14ac:dyDescent="0.25">
      <c r="A23" s="27" t="s">
        <v>17</v>
      </c>
      <c r="B23" s="28" t="s">
        <v>56</v>
      </c>
      <c r="C23" s="46"/>
      <c r="D23" s="44"/>
      <c r="E23" s="29"/>
      <c r="F23" s="30"/>
    </row>
    <row r="24" spans="1:8" x14ac:dyDescent="0.25">
      <c r="A24" s="27" t="s">
        <v>36</v>
      </c>
      <c r="B24" s="28" t="s">
        <v>59</v>
      </c>
      <c r="C24" s="46" t="s">
        <v>21</v>
      </c>
      <c r="D24" s="44">
        <f>160*2+20</f>
        <v>340</v>
      </c>
      <c r="E24" s="29"/>
      <c r="F24" s="30">
        <f>+D24*E24</f>
        <v>0</v>
      </c>
    </row>
    <row r="25" spans="1:8" x14ac:dyDescent="0.25">
      <c r="A25" s="27" t="s">
        <v>37</v>
      </c>
      <c r="B25" s="28" t="s">
        <v>61</v>
      </c>
      <c r="C25" s="46" t="s">
        <v>55</v>
      </c>
      <c r="D25" s="48">
        <v>18</v>
      </c>
      <c r="E25" s="29"/>
      <c r="F25" s="30">
        <f t="shared" ref="F25:F28" si="2">+D25*E25</f>
        <v>0</v>
      </c>
    </row>
    <row r="26" spans="1:8" x14ac:dyDescent="0.25">
      <c r="A26" s="27" t="s">
        <v>38</v>
      </c>
      <c r="B26" s="28" t="s">
        <v>62</v>
      </c>
      <c r="C26" s="46" t="s">
        <v>30</v>
      </c>
      <c r="D26" s="48">
        <v>1</v>
      </c>
      <c r="E26" s="29"/>
      <c r="F26" s="30">
        <f t="shared" si="2"/>
        <v>0</v>
      </c>
    </row>
    <row r="27" spans="1:8" x14ac:dyDescent="0.25">
      <c r="A27" s="27" t="s">
        <v>39</v>
      </c>
      <c r="B27" s="28" t="s">
        <v>85</v>
      </c>
      <c r="C27" s="46" t="s">
        <v>30</v>
      </c>
      <c r="D27" s="49">
        <v>1</v>
      </c>
      <c r="E27" s="29"/>
      <c r="F27" s="30">
        <f t="shared" si="2"/>
        <v>0</v>
      </c>
    </row>
    <row r="28" spans="1:8" x14ac:dyDescent="0.25">
      <c r="A28" s="27" t="s">
        <v>78</v>
      </c>
      <c r="B28" s="28" t="s">
        <v>58</v>
      </c>
      <c r="C28" s="46" t="s">
        <v>30</v>
      </c>
      <c r="D28" s="49">
        <v>1</v>
      </c>
      <c r="E28" s="29"/>
      <c r="F28" s="30">
        <f t="shared" si="2"/>
        <v>0</v>
      </c>
    </row>
    <row r="29" spans="1:8" x14ac:dyDescent="0.25">
      <c r="A29" s="58">
        <v>7</v>
      </c>
      <c r="B29" s="59" t="s">
        <v>32</v>
      </c>
      <c r="C29" s="60"/>
      <c r="D29" s="61"/>
      <c r="E29" s="62"/>
      <c r="F29" s="63"/>
    </row>
    <row r="30" spans="1:8" x14ac:dyDescent="0.25">
      <c r="A30" s="15" t="s">
        <v>18</v>
      </c>
      <c r="B30" s="16" t="s">
        <v>86</v>
      </c>
      <c r="C30" s="17" t="s">
        <v>29</v>
      </c>
      <c r="D30" s="45">
        <v>50</v>
      </c>
      <c r="E30" s="33"/>
      <c r="F30" s="31">
        <f>+D30*E30</f>
        <v>0</v>
      </c>
    </row>
    <row r="31" spans="1:8" x14ac:dyDescent="0.25">
      <c r="A31" s="15" t="s">
        <v>40</v>
      </c>
      <c r="B31" s="28" t="s">
        <v>65</v>
      </c>
      <c r="C31" s="46" t="s">
        <v>34</v>
      </c>
      <c r="D31" s="44">
        <v>2</v>
      </c>
      <c r="E31" s="47"/>
      <c r="F31" s="31">
        <f t="shared" ref="F31:F33" si="3">+D31*E31</f>
        <v>0</v>
      </c>
    </row>
    <row r="32" spans="1:8" x14ac:dyDescent="0.25">
      <c r="A32" s="27" t="s">
        <v>71</v>
      </c>
      <c r="B32" s="66" t="s">
        <v>57</v>
      </c>
      <c r="C32" s="46" t="s">
        <v>30</v>
      </c>
      <c r="D32" s="44">
        <v>1</v>
      </c>
      <c r="E32" s="47"/>
      <c r="F32" s="30">
        <f t="shared" si="3"/>
        <v>0</v>
      </c>
    </row>
    <row r="33" spans="1:7" x14ac:dyDescent="0.25">
      <c r="A33" s="27" t="s">
        <v>72</v>
      </c>
      <c r="B33" s="28" t="s">
        <v>79</v>
      </c>
      <c r="C33" s="76" t="s">
        <v>34</v>
      </c>
      <c r="D33" s="49">
        <v>1</v>
      </c>
      <c r="E33" s="47"/>
      <c r="F33" s="30">
        <f t="shared" si="3"/>
        <v>0</v>
      </c>
    </row>
    <row r="34" spans="1:7" x14ac:dyDescent="0.25">
      <c r="A34" s="58">
        <v>8</v>
      </c>
      <c r="B34" s="59" t="s">
        <v>33</v>
      </c>
      <c r="C34" s="60"/>
      <c r="D34" s="61"/>
      <c r="E34" s="62"/>
      <c r="F34" s="63"/>
    </row>
    <row r="35" spans="1:7" x14ac:dyDescent="0.25">
      <c r="A35" s="15" t="s">
        <v>19</v>
      </c>
      <c r="B35" s="16" t="s">
        <v>50</v>
      </c>
      <c r="C35" s="17" t="s">
        <v>20</v>
      </c>
      <c r="D35" s="45">
        <v>180</v>
      </c>
      <c r="E35" s="33"/>
      <c r="F35" s="31">
        <f>+D35*E35</f>
        <v>0</v>
      </c>
    </row>
    <row r="36" spans="1:7" x14ac:dyDescent="0.25">
      <c r="A36" s="35"/>
      <c r="B36" s="36" t="s">
        <v>22</v>
      </c>
      <c r="C36" s="37"/>
      <c r="D36" s="38"/>
      <c r="E36" s="38"/>
      <c r="F36" s="39">
        <f>SUM(F9:F35)</f>
        <v>0</v>
      </c>
    </row>
    <row r="37" spans="1:7" x14ac:dyDescent="0.25">
      <c r="A37" s="35"/>
      <c r="B37" s="36" t="s">
        <v>23</v>
      </c>
      <c r="C37" s="37"/>
      <c r="D37" s="38"/>
      <c r="E37" s="38"/>
      <c r="F37" s="39">
        <f>0.21*F36</f>
        <v>0</v>
      </c>
    </row>
    <row r="38" spans="1:7" x14ac:dyDescent="0.25">
      <c r="A38" s="35"/>
      <c r="B38" s="36" t="s">
        <v>24</v>
      </c>
      <c r="C38" s="37"/>
      <c r="D38" s="38"/>
      <c r="E38" s="38"/>
      <c r="F38" s="39">
        <f>+F36+F37</f>
        <v>0</v>
      </c>
      <c r="G38">
        <f>+F36/D19</f>
        <v>0</v>
      </c>
    </row>
  </sheetData>
  <mergeCells count="1">
    <mergeCell ref="A5:F5"/>
  </mergeCells>
  <printOptions horizontalCentered="1"/>
  <pageMargins left="0.9055118110236221" right="0.51181102362204722" top="0.94488188976377963" bottom="0.74803149606299213" header="0.31496062992125984" footer="0.31496062992125984"/>
  <pageSetup paperSize="9" scale="74" fitToHeight="2" orientation="portrait" r:id="rId1"/>
  <headerFooter>
    <oddFooter>&amp;LPlanilla de Cotizacion&amp;R&amp;P de &amp;N</oddFooter>
  </headerFooter>
  <drawing r:id="rId2"/>
  <legacyDrawing r:id="rId3"/>
  <oleObjects>
    <mc:AlternateContent xmlns:mc="http://schemas.openxmlformats.org/markup-compatibility/2006">
      <mc:Choice Requires="x14">
        <oleObject progId="PBrush" shapeId="55297" r:id="rId4">
          <objectPr defaultSize="0" autoPict="0" r:id="rId5">
            <anchor moveWithCells="1" sizeWithCells="1">
              <from>
                <xdr:col>4</xdr:col>
                <xdr:colOff>257175</xdr:colOff>
                <xdr:row>0</xdr:row>
                <xdr:rowOff>28575</xdr:rowOff>
              </from>
              <to>
                <xdr:col>5</xdr:col>
                <xdr:colOff>533400</xdr:colOff>
                <xdr:row>2</xdr:row>
                <xdr:rowOff>38100</xdr:rowOff>
              </to>
            </anchor>
          </objectPr>
        </oleObject>
      </mc:Choice>
      <mc:Fallback>
        <oleObject progId="PBrush" shapeId="55297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B1:M28"/>
  <sheetViews>
    <sheetView zoomScaleNormal="100" workbookViewId="0">
      <selection activeCell="G28" sqref="A1:G28"/>
    </sheetView>
  </sheetViews>
  <sheetFormatPr baseColWidth="10" defaultColWidth="15.42578125" defaultRowHeight="15" x14ac:dyDescent="0.25"/>
  <cols>
    <col min="1" max="1" width="2.28515625" customWidth="1"/>
    <col min="2" max="2" width="9.7109375" customWidth="1"/>
    <col min="3" max="3" width="118.140625" customWidth="1"/>
    <col min="4" max="4" width="6.42578125" customWidth="1"/>
    <col min="5" max="5" width="9" customWidth="1"/>
    <col min="6" max="6" width="8.140625" bestFit="1" customWidth="1"/>
    <col min="7" max="7" width="9.5703125" customWidth="1"/>
    <col min="8" max="8" width="2" customWidth="1"/>
  </cols>
  <sheetData>
    <row r="1" spans="2:13" ht="18" customHeight="1" x14ac:dyDescent="0.25"/>
    <row r="4" spans="2:13" ht="18" x14ac:dyDescent="0.25">
      <c r="B4" s="461" t="s">
        <v>530</v>
      </c>
      <c r="C4" s="456" t="s">
        <v>525</v>
      </c>
      <c r="D4" s="3"/>
      <c r="E4" s="3"/>
      <c r="F4" s="2"/>
      <c r="G4" s="2"/>
    </row>
    <row r="5" spans="2:13" ht="18" x14ac:dyDescent="0.25">
      <c r="B5" s="64"/>
      <c r="C5" s="456" t="s">
        <v>524</v>
      </c>
      <c r="D5" s="3"/>
      <c r="E5" s="3"/>
      <c r="F5" s="2"/>
      <c r="G5" s="2"/>
    </row>
    <row r="6" spans="2:13" ht="18" x14ac:dyDescent="0.25">
      <c r="B6" s="1" t="s">
        <v>63</v>
      </c>
      <c r="C6" s="456" t="s">
        <v>517</v>
      </c>
      <c r="D6" s="3"/>
      <c r="E6" s="3"/>
      <c r="F6" s="2"/>
      <c r="G6" s="2"/>
    </row>
    <row r="7" spans="2:13" ht="18" x14ac:dyDescent="0.25">
      <c r="B7" s="2"/>
      <c r="C7" s="64" t="s">
        <v>527</v>
      </c>
      <c r="D7" s="3"/>
      <c r="E7" s="3"/>
      <c r="F7" s="2"/>
      <c r="G7" s="2"/>
    </row>
    <row r="8" spans="2:13" ht="18" x14ac:dyDescent="0.25">
      <c r="B8" s="2"/>
      <c r="C8" s="64"/>
      <c r="D8" s="3"/>
      <c r="E8" s="3"/>
      <c r="F8" s="2"/>
      <c r="G8" s="2"/>
    </row>
    <row r="9" spans="2:13" ht="20.25" x14ac:dyDescent="0.25">
      <c r="B9" s="462" t="s">
        <v>0</v>
      </c>
      <c r="C9" s="462"/>
      <c r="D9" s="462"/>
      <c r="E9" s="462"/>
      <c r="F9" s="462"/>
      <c r="G9" s="462"/>
    </row>
    <row r="10" spans="2:13" ht="20.25" x14ac:dyDescent="0.25">
      <c r="B10" s="459"/>
      <c r="C10" s="459"/>
      <c r="D10" s="459"/>
      <c r="E10" s="459"/>
      <c r="F10" s="459"/>
      <c r="G10" s="459"/>
    </row>
    <row r="11" spans="2:13" s="87" customFormat="1" ht="16.5" customHeight="1" x14ac:dyDescent="0.25">
      <c r="B11" s="85"/>
      <c r="C11" s="85"/>
      <c r="D11" s="86"/>
      <c r="E11" s="86"/>
      <c r="F11" s="85"/>
      <c r="G11" s="85"/>
    </row>
    <row r="12" spans="2:13" ht="25.5" x14ac:dyDescent="0.25">
      <c r="B12" s="4" t="s">
        <v>1</v>
      </c>
      <c r="C12" s="4" t="s">
        <v>88</v>
      </c>
      <c r="D12" s="6" t="s">
        <v>3</v>
      </c>
      <c r="E12" s="460" t="s">
        <v>5</v>
      </c>
      <c r="F12" s="4" t="s">
        <v>4</v>
      </c>
      <c r="G12" s="4" t="s">
        <v>6</v>
      </c>
      <c r="K12" s="252"/>
      <c r="L12" s="252"/>
      <c r="M12" s="252"/>
    </row>
    <row r="13" spans="2:13" x14ac:dyDescent="0.25">
      <c r="B13" s="463"/>
      <c r="C13" s="464"/>
      <c r="D13" s="464"/>
      <c r="E13" s="464"/>
      <c r="F13" s="464"/>
      <c r="G13" s="465"/>
      <c r="K13" s="252"/>
      <c r="L13" s="252"/>
      <c r="M13" s="252"/>
    </row>
    <row r="14" spans="2:13" s="82" customFormat="1" ht="27.4" customHeight="1" x14ac:dyDescent="0.25">
      <c r="B14" s="78">
        <v>1</v>
      </c>
      <c r="C14" s="79" t="s">
        <v>523</v>
      </c>
      <c r="D14" s="57" t="s">
        <v>89</v>
      </c>
      <c r="E14" s="80">
        <v>61</v>
      </c>
      <c r="F14" s="81">
        <v>0</v>
      </c>
      <c r="G14" s="81">
        <f>E14*F14</f>
        <v>0</v>
      </c>
      <c r="K14" s="254"/>
      <c r="L14" s="254"/>
      <c r="M14" s="254"/>
    </row>
    <row r="15" spans="2:13" ht="27.4" customHeight="1" x14ac:dyDescent="0.25">
      <c r="B15" s="78">
        <f>+B14+1</f>
        <v>2</v>
      </c>
      <c r="C15" s="79" t="s">
        <v>529</v>
      </c>
      <c r="D15" s="57" t="s">
        <v>89</v>
      </c>
      <c r="E15" s="80">
        <f>+E14</f>
        <v>61</v>
      </c>
      <c r="F15" s="81">
        <v>0</v>
      </c>
      <c r="G15" s="81">
        <f>E15*F15</f>
        <v>0</v>
      </c>
      <c r="K15" s="252"/>
      <c r="L15" s="252"/>
      <c r="M15" s="252"/>
    </row>
    <row r="16" spans="2:13" s="82" customFormat="1" ht="27.4" customHeight="1" x14ac:dyDescent="0.25">
      <c r="B16" s="249">
        <f>+B15+1</f>
        <v>3</v>
      </c>
      <c r="C16" s="79" t="s">
        <v>522</v>
      </c>
      <c r="D16" s="57" t="s">
        <v>353</v>
      </c>
      <c r="E16" s="250">
        <v>500</v>
      </c>
      <c r="F16" s="81">
        <v>0</v>
      </c>
      <c r="G16" s="81">
        <f t="shared" ref="G16:G21" si="0">E16*F16</f>
        <v>0</v>
      </c>
    </row>
    <row r="17" spans="2:12" s="82" customFormat="1" ht="27.4" customHeight="1" x14ac:dyDescent="0.25">
      <c r="B17" s="249">
        <f>+B16+1</f>
        <v>4</v>
      </c>
      <c r="C17" s="247" t="s">
        <v>347</v>
      </c>
      <c r="D17" s="57" t="s">
        <v>89</v>
      </c>
      <c r="E17" s="250">
        <v>13</v>
      </c>
      <c r="F17" s="81">
        <v>0</v>
      </c>
      <c r="G17" s="81">
        <f t="shared" si="0"/>
        <v>0</v>
      </c>
      <c r="I17" s="253"/>
    </row>
    <row r="18" spans="2:12" s="82" customFormat="1" ht="27.4" customHeight="1" x14ac:dyDescent="0.25">
      <c r="B18" s="249">
        <f t="shared" ref="B18:B20" si="1">+B17+1</f>
        <v>5</v>
      </c>
      <c r="C18" s="248" t="s">
        <v>348</v>
      </c>
      <c r="D18" s="57" t="s">
        <v>89</v>
      </c>
      <c r="E18" s="250">
        <v>3</v>
      </c>
      <c r="F18" s="81">
        <v>0</v>
      </c>
      <c r="G18" s="81">
        <f t="shared" si="0"/>
        <v>0</v>
      </c>
      <c r="I18" s="253"/>
    </row>
    <row r="19" spans="2:12" s="82" customFormat="1" ht="27.4" customHeight="1" x14ac:dyDescent="0.25">
      <c r="B19" s="249">
        <f t="shared" si="1"/>
        <v>6</v>
      </c>
      <c r="C19" s="248" t="s">
        <v>350</v>
      </c>
      <c r="D19" s="57" t="s">
        <v>89</v>
      </c>
      <c r="E19" s="250">
        <v>1</v>
      </c>
      <c r="F19" s="81">
        <v>0</v>
      </c>
      <c r="G19" s="81">
        <f t="shared" si="0"/>
        <v>0</v>
      </c>
      <c r="I19" s="253"/>
    </row>
    <row r="20" spans="2:12" s="82" customFormat="1" ht="27.4" customHeight="1" x14ac:dyDescent="0.25">
      <c r="B20" s="249">
        <f t="shared" si="1"/>
        <v>7</v>
      </c>
      <c r="C20" s="248" t="s">
        <v>351</v>
      </c>
      <c r="D20" s="57" t="s">
        <v>89</v>
      </c>
      <c r="E20" s="250">
        <v>15</v>
      </c>
      <c r="F20" s="255">
        <v>0</v>
      </c>
      <c r="G20" s="255">
        <f t="shared" si="0"/>
        <v>0</v>
      </c>
      <c r="I20" s="253"/>
    </row>
    <row r="21" spans="2:12" s="82" customFormat="1" ht="27.4" customHeight="1" x14ac:dyDescent="0.25">
      <c r="B21" s="249">
        <f>+B20+1</f>
        <v>8</v>
      </c>
      <c r="C21" s="248" t="s">
        <v>352</v>
      </c>
      <c r="D21" s="57" t="s">
        <v>89</v>
      </c>
      <c r="E21" s="250">
        <v>4</v>
      </c>
      <c r="F21" s="255">
        <v>0</v>
      </c>
      <c r="G21" s="255">
        <f t="shared" si="0"/>
        <v>0</v>
      </c>
      <c r="I21" s="253"/>
    </row>
    <row r="22" spans="2:12" x14ac:dyDescent="0.25">
      <c r="B22" s="35"/>
      <c r="C22" s="36" t="s">
        <v>22</v>
      </c>
      <c r="D22" s="37"/>
      <c r="E22" s="38"/>
      <c r="F22" s="38"/>
      <c r="G22" s="39">
        <f>SUM(G14:G21)</f>
        <v>0</v>
      </c>
      <c r="L22" s="39"/>
    </row>
    <row r="23" spans="2:12" x14ac:dyDescent="0.25">
      <c r="B23" s="35"/>
      <c r="C23" s="36" t="s">
        <v>185</v>
      </c>
      <c r="D23" s="37"/>
      <c r="E23" s="38"/>
      <c r="F23" s="38"/>
      <c r="G23" s="39">
        <f>0.21*G22</f>
        <v>0</v>
      </c>
    </row>
    <row r="24" spans="2:12" x14ac:dyDescent="0.25">
      <c r="B24" s="35"/>
      <c r="C24" s="36" t="s">
        <v>24</v>
      </c>
      <c r="D24" s="37"/>
      <c r="E24" s="38"/>
      <c r="F24" s="38"/>
      <c r="G24" s="39">
        <f>+G22+G23</f>
        <v>0</v>
      </c>
    </row>
    <row r="25" spans="2:12" ht="8.25" customHeight="1" x14ac:dyDescent="0.25"/>
    <row r="28" spans="2:12" x14ac:dyDescent="0.25">
      <c r="F28" s="77" t="s">
        <v>80</v>
      </c>
    </row>
  </sheetData>
  <mergeCells count="2">
    <mergeCell ref="B9:G9"/>
    <mergeCell ref="B13:G13"/>
  </mergeCells>
  <pageMargins left="0.7" right="0.7" top="0.75" bottom="0.75" header="0.3" footer="0.3"/>
  <pageSetup paperSize="9" scale="57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B1:M27"/>
  <sheetViews>
    <sheetView workbookViewId="0">
      <selection activeCell="G27" sqref="A1:G27"/>
    </sheetView>
  </sheetViews>
  <sheetFormatPr baseColWidth="10" defaultColWidth="15.42578125" defaultRowHeight="15" x14ac:dyDescent="0.25"/>
  <cols>
    <col min="1" max="1" width="2.28515625" customWidth="1"/>
    <col min="2" max="2" width="9.7109375" customWidth="1"/>
    <col min="3" max="3" width="118.140625" customWidth="1"/>
    <col min="4" max="4" width="6.42578125" customWidth="1"/>
    <col min="5" max="5" width="9" customWidth="1"/>
    <col min="6" max="6" width="8.140625" bestFit="1" customWidth="1"/>
    <col min="7" max="7" width="9.5703125" customWidth="1"/>
    <col min="8" max="8" width="2" customWidth="1"/>
  </cols>
  <sheetData>
    <row r="1" spans="2:13" ht="18" customHeight="1" x14ac:dyDescent="0.25"/>
    <row r="4" spans="2:13" ht="18" x14ac:dyDescent="0.25">
      <c r="B4" s="461" t="s">
        <v>530</v>
      </c>
      <c r="C4" s="456" t="s">
        <v>525</v>
      </c>
      <c r="D4" s="3"/>
      <c r="E4" s="3"/>
      <c r="F4" s="2"/>
      <c r="G4" s="2"/>
    </row>
    <row r="5" spans="2:13" ht="18" x14ac:dyDescent="0.25">
      <c r="B5" s="64"/>
      <c r="C5" s="456" t="s">
        <v>524</v>
      </c>
      <c r="D5" s="3"/>
      <c r="E5" s="3"/>
      <c r="F5" s="2"/>
      <c r="G5" s="2"/>
    </row>
    <row r="6" spans="2:13" ht="18" x14ac:dyDescent="0.25">
      <c r="B6" s="1" t="s">
        <v>63</v>
      </c>
      <c r="C6" s="456" t="s">
        <v>517</v>
      </c>
      <c r="D6" s="3"/>
      <c r="E6" s="3"/>
      <c r="F6" s="2"/>
      <c r="G6" s="2"/>
    </row>
    <row r="7" spans="2:13" ht="18" x14ac:dyDescent="0.25">
      <c r="B7" s="2"/>
      <c r="C7" s="64" t="s">
        <v>528</v>
      </c>
      <c r="D7" s="3"/>
      <c r="E7" s="3"/>
      <c r="F7" s="2"/>
      <c r="G7" s="2"/>
    </row>
    <row r="8" spans="2:13" ht="18" x14ac:dyDescent="0.25">
      <c r="B8" s="2"/>
      <c r="C8" s="64"/>
      <c r="D8" s="3"/>
      <c r="E8" s="3"/>
      <c r="F8" s="2"/>
      <c r="G8" s="2"/>
    </row>
    <row r="9" spans="2:13" ht="20.25" x14ac:dyDescent="0.25">
      <c r="B9" s="462" t="s">
        <v>0</v>
      </c>
      <c r="C9" s="462"/>
      <c r="D9" s="462"/>
      <c r="E9" s="462"/>
      <c r="F9" s="462"/>
      <c r="G9" s="462"/>
    </row>
    <row r="10" spans="2:13" ht="20.25" x14ac:dyDescent="0.25">
      <c r="B10" s="459"/>
      <c r="C10" s="459"/>
      <c r="D10" s="459"/>
      <c r="E10" s="459"/>
      <c r="F10" s="459"/>
      <c r="G10" s="459"/>
    </row>
    <row r="11" spans="2:13" s="87" customFormat="1" ht="16.5" customHeight="1" x14ac:dyDescent="0.25">
      <c r="B11" s="85"/>
      <c r="C11" s="85"/>
      <c r="D11" s="86"/>
      <c r="E11" s="86"/>
      <c r="F11" s="85"/>
      <c r="G11" s="85"/>
    </row>
    <row r="12" spans="2:13" ht="25.5" x14ac:dyDescent="0.25">
      <c r="B12" s="4" t="s">
        <v>1</v>
      </c>
      <c r="C12" s="4" t="s">
        <v>88</v>
      </c>
      <c r="D12" s="6" t="s">
        <v>3</v>
      </c>
      <c r="E12" s="460" t="s">
        <v>5</v>
      </c>
      <c r="F12" s="4" t="s">
        <v>4</v>
      </c>
      <c r="G12" s="4" t="s">
        <v>6</v>
      </c>
      <c r="K12" s="252"/>
      <c r="L12" s="252"/>
      <c r="M12" s="252"/>
    </row>
    <row r="13" spans="2:13" x14ac:dyDescent="0.25">
      <c r="B13" s="463"/>
      <c r="C13" s="464"/>
      <c r="D13" s="464"/>
      <c r="E13" s="464"/>
      <c r="F13" s="464"/>
      <c r="G13" s="465"/>
      <c r="K13" s="252"/>
      <c r="L13" s="252"/>
      <c r="M13" s="252"/>
    </row>
    <row r="14" spans="2:13" s="82" customFormat="1" ht="27.4" customHeight="1" x14ac:dyDescent="0.25">
      <c r="B14" s="78">
        <v>1</v>
      </c>
      <c r="C14" s="79" t="s">
        <v>523</v>
      </c>
      <c r="D14" s="57" t="s">
        <v>89</v>
      </c>
      <c r="E14" s="80">
        <v>80</v>
      </c>
      <c r="F14" s="81">
        <v>0</v>
      </c>
      <c r="G14" s="81">
        <f>E14*F14</f>
        <v>0</v>
      </c>
      <c r="K14" s="254"/>
      <c r="L14" s="254"/>
      <c r="M14" s="254"/>
    </row>
    <row r="15" spans="2:13" ht="27.4" customHeight="1" x14ac:dyDescent="0.25">
      <c r="B15" s="78">
        <f>+B14+1</f>
        <v>2</v>
      </c>
      <c r="C15" s="79" t="s">
        <v>529</v>
      </c>
      <c r="D15" s="57" t="s">
        <v>89</v>
      </c>
      <c r="E15" s="80">
        <f>+E14</f>
        <v>80</v>
      </c>
      <c r="F15" s="81">
        <v>0</v>
      </c>
      <c r="G15" s="81">
        <f>E15*F15</f>
        <v>0</v>
      </c>
      <c r="K15" s="252"/>
      <c r="L15" s="252"/>
      <c r="M15" s="252"/>
    </row>
    <row r="16" spans="2:13" s="82" customFormat="1" ht="27.4" customHeight="1" x14ac:dyDescent="0.25">
      <c r="B16" s="249">
        <f>+B15+1</f>
        <v>3</v>
      </c>
      <c r="C16" s="79" t="s">
        <v>522</v>
      </c>
      <c r="D16" s="57" t="s">
        <v>353</v>
      </c>
      <c r="E16" s="250">
        <v>300</v>
      </c>
      <c r="F16" s="81">
        <v>0</v>
      </c>
      <c r="G16" s="81">
        <f t="shared" ref="G16:G20" si="0">E16*F16</f>
        <v>0</v>
      </c>
    </row>
    <row r="17" spans="2:12" s="82" customFormat="1" ht="27.4" customHeight="1" x14ac:dyDescent="0.25">
      <c r="B17" s="249">
        <f>+B16+1</f>
        <v>4</v>
      </c>
      <c r="C17" s="247" t="s">
        <v>347</v>
      </c>
      <c r="D17" s="57" t="s">
        <v>89</v>
      </c>
      <c r="E17" s="250">
        <v>5</v>
      </c>
      <c r="F17" s="81">
        <v>0</v>
      </c>
      <c r="G17" s="81">
        <f t="shared" si="0"/>
        <v>0</v>
      </c>
      <c r="I17" s="253"/>
    </row>
    <row r="18" spans="2:12" s="82" customFormat="1" ht="27.4" customHeight="1" x14ac:dyDescent="0.25">
      <c r="B18" s="249">
        <f t="shared" ref="B18:B20" si="1">+B17+1</f>
        <v>5</v>
      </c>
      <c r="C18" s="248" t="s">
        <v>348</v>
      </c>
      <c r="D18" s="57" t="s">
        <v>89</v>
      </c>
      <c r="E18" s="250">
        <v>1</v>
      </c>
      <c r="F18" s="81">
        <v>0</v>
      </c>
      <c r="G18" s="81">
        <f t="shared" si="0"/>
        <v>0</v>
      </c>
      <c r="I18" s="253"/>
    </row>
    <row r="19" spans="2:12" s="82" customFormat="1" ht="27.4" customHeight="1" x14ac:dyDescent="0.25">
      <c r="B19" s="249">
        <f t="shared" si="1"/>
        <v>6</v>
      </c>
      <c r="C19" s="248" t="s">
        <v>350</v>
      </c>
      <c r="D19" s="57" t="s">
        <v>89</v>
      </c>
      <c r="E19" s="250">
        <v>2</v>
      </c>
      <c r="F19" s="81">
        <v>0</v>
      </c>
      <c r="G19" s="81">
        <f t="shared" si="0"/>
        <v>0</v>
      </c>
      <c r="I19" s="253"/>
    </row>
    <row r="20" spans="2:12" s="82" customFormat="1" ht="27.4" customHeight="1" x14ac:dyDescent="0.25">
      <c r="B20" s="249">
        <f t="shared" si="1"/>
        <v>7</v>
      </c>
      <c r="C20" s="248" t="s">
        <v>351</v>
      </c>
      <c r="D20" s="57" t="s">
        <v>89</v>
      </c>
      <c r="E20" s="250">
        <v>3</v>
      </c>
      <c r="F20" s="255">
        <v>0</v>
      </c>
      <c r="G20" s="255">
        <f t="shared" si="0"/>
        <v>0</v>
      </c>
      <c r="I20" s="253"/>
    </row>
    <row r="21" spans="2:12" x14ac:dyDescent="0.25">
      <c r="B21" s="35"/>
      <c r="C21" s="36" t="s">
        <v>22</v>
      </c>
      <c r="D21" s="37"/>
      <c r="E21" s="38"/>
      <c r="F21" s="38"/>
      <c r="G21" s="39">
        <f>SUM(G14:G20)</f>
        <v>0</v>
      </c>
      <c r="L21" s="39"/>
    </row>
    <row r="22" spans="2:12" x14ac:dyDescent="0.25">
      <c r="B22" s="35"/>
      <c r="C22" s="36" t="s">
        <v>185</v>
      </c>
      <c r="D22" s="37"/>
      <c r="E22" s="38"/>
      <c r="F22" s="38"/>
      <c r="G22" s="39">
        <f>0.21*G21</f>
        <v>0</v>
      </c>
    </row>
    <row r="23" spans="2:12" x14ac:dyDescent="0.25">
      <c r="B23" s="35"/>
      <c r="C23" s="36" t="s">
        <v>24</v>
      </c>
      <c r="D23" s="37"/>
      <c r="E23" s="38"/>
      <c r="F23" s="38"/>
      <c r="G23" s="39">
        <f>+G21+G22</f>
        <v>0</v>
      </c>
    </row>
    <row r="24" spans="2:12" ht="8.25" customHeight="1" x14ac:dyDescent="0.25"/>
    <row r="27" spans="2:12" x14ac:dyDescent="0.25">
      <c r="F27" s="77" t="s">
        <v>80</v>
      </c>
    </row>
  </sheetData>
  <mergeCells count="2">
    <mergeCell ref="B9:G9"/>
    <mergeCell ref="B13:G13"/>
  </mergeCells>
  <pageMargins left="0.7" right="0.7" top="0.75" bottom="0.75" header="0.3" footer="0.3"/>
  <pageSetup paperSize="9" scale="57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I61"/>
  <sheetViews>
    <sheetView showGridLines="0" tabSelected="1" view="pageBreakPreview" topLeftCell="A16" zoomScale="60" zoomScaleNormal="55" workbookViewId="0">
      <selection activeCell="B7" sqref="B7"/>
    </sheetView>
  </sheetViews>
  <sheetFormatPr baseColWidth="10" defaultRowHeight="12.75" x14ac:dyDescent="0.2"/>
  <cols>
    <col min="1" max="1" width="13.7109375" style="257" bestFit="1" customWidth="1"/>
    <col min="2" max="2" width="39.140625" style="257" customWidth="1"/>
    <col min="3" max="3" width="11.140625" style="257" customWidth="1"/>
    <col min="4" max="4" width="12" style="257" customWidth="1"/>
    <col min="5" max="5" width="12.85546875" style="261" customWidth="1"/>
    <col min="6" max="6" width="13.42578125" style="257" customWidth="1"/>
    <col min="7" max="7" width="14.42578125" style="257" customWidth="1"/>
    <col min="8" max="8" width="11.42578125" style="257"/>
    <col min="9" max="9" width="34.7109375" style="257" customWidth="1"/>
    <col min="10" max="256" width="11.42578125" style="257"/>
    <col min="257" max="257" width="11.5703125" style="257" customWidth="1"/>
    <col min="258" max="258" width="39.140625" style="257" customWidth="1"/>
    <col min="259" max="259" width="11.140625" style="257" customWidth="1"/>
    <col min="260" max="260" width="12" style="257" customWidth="1"/>
    <col min="261" max="261" width="14.42578125" style="257" customWidth="1"/>
    <col min="262" max="262" width="13.42578125" style="257" customWidth="1"/>
    <col min="263" max="263" width="14.42578125" style="257" customWidth="1"/>
    <col min="264" max="264" width="11.42578125" style="257"/>
    <col min="265" max="265" width="34.7109375" style="257" customWidth="1"/>
    <col min="266" max="512" width="11.42578125" style="257"/>
    <col min="513" max="513" width="11.5703125" style="257" customWidth="1"/>
    <col min="514" max="514" width="39.140625" style="257" customWidth="1"/>
    <col min="515" max="515" width="11.140625" style="257" customWidth="1"/>
    <col min="516" max="516" width="12" style="257" customWidth="1"/>
    <col min="517" max="517" width="14.42578125" style="257" customWidth="1"/>
    <col min="518" max="518" width="13.42578125" style="257" customWidth="1"/>
    <col min="519" max="519" width="14.42578125" style="257" customWidth="1"/>
    <col min="520" max="520" width="11.42578125" style="257"/>
    <col min="521" max="521" width="34.7109375" style="257" customWidth="1"/>
    <col min="522" max="768" width="11.42578125" style="257"/>
    <col min="769" max="769" width="11.5703125" style="257" customWidth="1"/>
    <col min="770" max="770" width="39.140625" style="257" customWidth="1"/>
    <col min="771" max="771" width="11.140625" style="257" customWidth="1"/>
    <col min="772" max="772" width="12" style="257" customWidth="1"/>
    <col min="773" max="773" width="14.42578125" style="257" customWidth="1"/>
    <col min="774" max="774" width="13.42578125" style="257" customWidth="1"/>
    <col min="775" max="775" width="14.42578125" style="257" customWidth="1"/>
    <col min="776" max="776" width="11.42578125" style="257"/>
    <col min="777" max="777" width="34.7109375" style="257" customWidth="1"/>
    <col min="778" max="1024" width="11.42578125" style="257"/>
    <col min="1025" max="1025" width="11.5703125" style="257" customWidth="1"/>
    <col min="1026" max="1026" width="39.140625" style="257" customWidth="1"/>
    <col min="1027" max="1027" width="11.140625" style="257" customWidth="1"/>
    <col min="1028" max="1028" width="12" style="257" customWidth="1"/>
    <col min="1029" max="1029" width="14.42578125" style="257" customWidth="1"/>
    <col min="1030" max="1030" width="13.42578125" style="257" customWidth="1"/>
    <col min="1031" max="1031" width="14.42578125" style="257" customWidth="1"/>
    <col min="1032" max="1032" width="11.42578125" style="257"/>
    <col min="1033" max="1033" width="34.7109375" style="257" customWidth="1"/>
    <col min="1034" max="1280" width="11.42578125" style="257"/>
    <col min="1281" max="1281" width="11.5703125" style="257" customWidth="1"/>
    <col min="1282" max="1282" width="39.140625" style="257" customWidth="1"/>
    <col min="1283" max="1283" width="11.140625" style="257" customWidth="1"/>
    <col min="1284" max="1284" width="12" style="257" customWidth="1"/>
    <col min="1285" max="1285" width="14.42578125" style="257" customWidth="1"/>
    <col min="1286" max="1286" width="13.42578125" style="257" customWidth="1"/>
    <col min="1287" max="1287" width="14.42578125" style="257" customWidth="1"/>
    <col min="1288" max="1288" width="11.42578125" style="257"/>
    <col min="1289" max="1289" width="34.7109375" style="257" customWidth="1"/>
    <col min="1290" max="1536" width="11.42578125" style="257"/>
    <col min="1537" max="1537" width="11.5703125" style="257" customWidth="1"/>
    <col min="1538" max="1538" width="39.140625" style="257" customWidth="1"/>
    <col min="1539" max="1539" width="11.140625" style="257" customWidth="1"/>
    <col min="1540" max="1540" width="12" style="257" customWidth="1"/>
    <col min="1541" max="1541" width="14.42578125" style="257" customWidth="1"/>
    <col min="1542" max="1542" width="13.42578125" style="257" customWidth="1"/>
    <col min="1543" max="1543" width="14.42578125" style="257" customWidth="1"/>
    <col min="1544" max="1544" width="11.42578125" style="257"/>
    <col min="1545" max="1545" width="34.7109375" style="257" customWidth="1"/>
    <col min="1546" max="1792" width="11.42578125" style="257"/>
    <col min="1793" max="1793" width="11.5703125" style="257" customWidth="1"/>
    <col min="1794" max="1794" width="39.140625" style="257" customWidth="1"/>
    <col min="1795" max="1795" width="11.140625" style="257" customWidth="1"/>
    <col min="1796" max="1796" width="12" style="257" customWidth="1"/>
    <col min="1797" max="1797" width="14.42578125" style="257" customWidth="1"/>
    <col min="1798" max="1798" width="13.42578125" style="257" customWidth="1"/>
    <col min="1799" max="1799" width="14.42578125" style="257" customWidth="1"/>
    <col min="1800" max="1800" width="11.42578125" style="257"/>
    <col min="1801" max="1801" width="34.7109375" style="257" customWidth="1"/>
    <col min="1802" max="2048" width="11.42578125" style="257"/>
    <col min="2049" max="2049" width="11.5703125" style="257" customWidth="1"/>
    <col min="2050" max="2050" width="39.140625" style="257" customWidth="1"/>
    <col min="2051" max="2051" width="11.140625" style="257" customWidth="1"/>
    <col min="2052" max="2052" width="12" style="257" customWidth="1"/>
    <col min="2053" max="2053" width="14.42578125" style="257" customWidth="1"/>
    <col min="2054" max="2054" width="13.42578125" style="257" customWidth="1"/>
    <col min="2055" max="2055" width="14.42578125" style="257" customWidth="1"/>
    <col min="2056" max="2056" width="11.42578125" style="257"/>
    <col min="2057" max="2057" width="34.7109375" style="257" customWidth="1"/>
    <col min="2058" max="2304" width="11.42578125" style="257"/>
    <col min="2305" max="2305" width="11.5703125" style="257" customWidth="1"/>
    <col min="2306" max="2306" width="39.140625" style="257" customWidth="1"/>
    <col min="2307" max="2307" width="11.140625" style="257" customWidth="1"/>
    <col min="2308" max="2308" width="12" style="257" customWidth="1"/>
    <col min="2309" max="2309" width="14.42578125" style="257" customWidth="1"/>
    <col min="2310" max="2310" width="13.42578125" style="257" customWidth="1"/>
    <col min="2311" max="2311" width="14.42578125" style="257" customWidth="1"/>
    <col min="2312" max="2312" width="11.42578125" style="257"/>
    <col min="2313" max="2313" width="34.7109375" style="257" customWidth="1"/>
    <col min="2314" max="2560" width="11.42578125" style="257"/>
    <col min="2561" max="2561" width="11.5703125" style="257" customWidth="1"/>
    <col min="2562" max="2562" width="39.140625" style="257" customWidth="1"/>
    <col min="2563" max="2563" width="11.140625" style="257" customWidth="1"/>
    <col min="2564" max="2564" width="12" style="257" customWidth="1"/>
    <col min="2565" max="2565" width="14.42578125" style="257" customWidth="1"/>
    <col min="2566" max="2566" width="13.42578125" style="257" customWidth="1"/>
    <col min="2567" max="2567" width="14.42578125" style="257" customWidth="1"/>
    <col min="2568" max="2568" width="11.42578125" style="257"/>
    <col min="2569" max="2569" width="34.7109375" style="257" customWidth="1"/>
    <col min="2570" max="2816" width="11.42578125" style="257"/>
    <col min="2817" max="2817" width="11.5703125" style="257" customWidth="1"/>
    <col min="2818" max="2818" width="39.140625" style="257" customWidth="1"/>
    <col min="2819" max="2819" width="11.140625" style="257" customWidth="1"/>
    <col min="2820" max="2820" width="12" style="257" customWidth="1"/>
    <col min="2821" max="2821" width="14.42578125" style="257" customWidth="1"/>
    <col min="2822" max="2822" width="13.42578125" style="257" customWidth="1"/>
    <col min="2823" max="2823" width="14.42578125" style="257" customWidth="1"/>
    <col min="2824" max="2824" width="11.42578125" style="257"/>
    <col min="2825" max="2825" width="34.7109375" style="257" customWidth="1"/>
    <col min="2826" max="3072" width="11.42578125" style="257"/>
    <col min="3073" max="3073" width="11.5703125" style="257" customWidth="1"/>
    <col min="3074" max="3074" width="39.140625" style="257" customWidth="1"/>
    <col min="3075" max="3075" width="11.140625" style="257" customWidth="1"/>
    <col min="3076" max="3076" width="12" style="257" customWidth="1"/>
    <col min="3077" max="3077" width="14.42578125" style="257" customWidth="1"/>
    <col min="3078" max="3078" width="13.42578125" style="257" customWidth="1"/>
    <col min="3079" max="3079" width="14.42578125" style="257" customWidth="1"/>
    <col min="3080" max="3080" width="11.42578125" style="257"/>
    <col min="3081" max="3081" width="34.7109375" style="257" customWidth="1"/>
    <col min="3082" max="3328" width="11.42578125" style="257"/>
    <col min="3329" max="3329" width="11.5703125" style="257" customWidth="1"/>
    <col min="3330" max="3330" width="39.140625" style="257" customWidth="1"/>
    <col min="3331" max="3331" width="11.140625" style="257" customWidth="1"/>
    <col min="3332" max="3332" width="12" style="257" customWidth="1"/>
    <col min="3333" max="3333" width="14.42578125" style="257" customWidth="1"/>
    <col min="3334" max="3334" width="13.42578125" style="257" customWidth="1"/>
    <col min="3335" max="3335" width="14.42578125" style="257" customWidth="1"/>
    <col min="3336" max="3336" width="11.42578125" style="257"/>
    <col min="3337" max="3337" width="34.7109375" style="257" customWidth="1"/>
    <col min="3338" max="3584" width="11.42578125" style="257"/>
    <col min="3585" max="3585" width="11.5703125" style="257" customWidth="1"/>
    <col min="3586" max="3586" width="39.140625" style="257" customWidth="1"/>
    <col min="3587" max="3587" width="11.140625" style="257" customWidth="1"/>
    <col min="3588" max="3588" width="12" style="257" customWidth="1"/>
    <col min="3589" max="3589" width="14.42578125" style="257" customWidth="1"/>
    <col min="3590" max="3590" width="13.42578125" style="257" customWidth="1"/>
    <col min="3591" max="3591" width="14.42578125" style="257" customWidth="1"/>
    <col min="3592" max="3592" width="11.42578125" style="257"/>
    <col min="3593" max="3593" width="34.7109375" style="257" customWidth="1"/>
    <col min="3594" max="3840" width="11.42578125" style="257"/>
    <col min="3841" max="3841" width="11.5703125" style="257" customWidth="1"/>
    <col min="3842" max="3842" width="39.140625" style="257" customWidth="1"/>
    <col min="3843" max="3843" width="11.140625" style="257" customWidth="1"/>
    <col min="3844" max="3844" width="12" style="257" customWidth="1"/>
    <col min="3845" max="3845" width="14.42578125" style="257" customWidth="1"/>
    <col min="3846" max="3846" width="13.42578125" style="257" customWidth="1"/>
    <col min="3847" max="3847" width="14.42578125" style="257" customWidth="1"/>
    <col min="3848" max="3848" width="11.42578125" style="257"/>
    <col min="3849" max="3849" width="34.7109375" style="257" customWidth="1"/>
    <col min="3850" max="4096" width="11.42578125" style="257"/>
    <col min="4097" max="4097" width="11.5703125" style="257" customWidth="1"/>
    <col min="4098" max="4098" width="39.140625" style="257" customWidth="1"/>
    <col min="4099" max="4099" width="11.140625" style="257" customWidth="1"/>
    <col min="4100" max="4100" width="12" style="257" customWidth="1"/>
    <col min="4101" max="4101" width="14.42578125" style="257" customWidth="1"/>
    <col min="4102" max="4102" width="13.42578125" style="257" customWidth="1"/>
    <col min="4103" max="4103" width="14.42578125" style="257" customWidth="1"/>
    <col min="4104" max="4104" width="11.42578125" style="257"/>
    <col min="4105" max="4105" width="34.7109375" style="257" customWidth="1"/>
    <col min="4106" max="4352" width="11.42578125" style="257"/>
    <col min="4353" max="4353" width="11.5703125" style="257" customWidth="1"/>
    <col min="4354" max="4354" width="39.140625" style="257" customWidth="1"/>
    <col min="4355" max="4355" width="11.140625" style="257" customWidth="1"/>
    <col min="4356" max="4356" width="12" style="257" customWidth="1"/>
    <col min="4357" max="4357" width="14.42578125" style="257" customWidth="1"/>
    <col min="4358" max="4358" width="13.42578125" style="257" customWidth="1"/>
    <col min="4359" max="4359" width="14.42578125" style="257" customWidth="1"/>
    <col min="4360" max="4360" width="11.42578125" style="257"/>
    <col min="4361" max="4361" width="34.7109375" style="257" customWidth="1"/>
    <col min="4362" max="4608" width="11.42578125" style="257"/>
    <col min="4609" max="4609" width="11.5703125" style="257" customWidth="1"/>
    <col min="4610" max="4610" width="39.140625" style="257" customWidth="1"/>
    <col min="4611" max="4611" width="11.140625" style="257" customWidth="1"/>
    <col min="4612" max="4612" width="12" style="257" customWidth="1"/>
    <col min="4613" max="4613" width="14.42578125" style="257" customWidth="1"/>
    <col min="4614" max="4614" width="13.42578125" style="257" customWidth="1"/>
    <col min="4615" max="4615" width="14.42578125" style="257" customWidth="1"/>
    <col min="4616" max="4616" width="11.42578125" style="257"/>
    <col min="4617" max="4617" width="34.7109375" style="257" customWidth="1"/>
    <col min="4618" max="4864" width="11.42578125" style="257"/>
    <col min="4865" max="4865" width="11.5703125" style="257" customWidth="1"/>
    <col min="4866" max="4866" width="39.140625" style="257" customWidth="1"/>
    <col min="4867" max="4867" width="11.140625" style="257" customWidth="1"/>
    <col min="4868" max="4868" width="12" style="257" customWidth="1"/>
    <col min="4869" max="4869" width="14.42578125" style="257" customWidth="1"/>
    <col min="4870" max="4870" width="13.42578125" style="257" customWidth="1"/>
    <col min="4871" max="4871" width="14.42578125" style="257" customWidth="1"/>
    <col min="4872" max="4872" width="11.42578125" style="257"/>
    <col min="4873" max="4873" width="34.7109375" style="257" customWidth="1"/>
    <col min="4874" max="5120" width="11.42578125" style="257"/>
    <col min="5121" max="5121" width="11.5703125" style="257" customWidth="1"/>
    <col min="5122" max="5122" width="39.140625" style="257" customWidth="1"/>
    <col min="5123" max="5123" width="11.140625" style="257" customWidth="1"/>
    <col min="5124" max="5124" width="12" style="257" customWidth="1"/>
    <col min="5125" max="5125" width="14.42578125" style="257" customWidth="1"/>
    <col min="5126" max="5126" width="13.42578125" style="257" customWidth="1"/>
    <col min="5127" max="5127" width="14.42578125" style="257" customWidth="1"/>
    <col min="5128" max="5128" width="11.42578125" style="257"/>
    <col min="5129" max="5129" width="34.7109375" style="257" customWidth="1"/>
    <col min="5130" max="5376" width="11.42578125" style="257"/>
    <col min="5377" max="5377" width="11.5703125" style="257" customWidth="1"/>
    <col min="5378" max="5378" width="39.140625" style="257" customWidth="1"/>
    <col min="5379" max="5379" width="11.140625" style="257" customWidth="1"/>
    <col min="5380" max="5380" width="12" style="257" customWidth="1"/>
    <col min="5381" max="5381" width="14.42578125" style="257" customWidth="1"/>
    <col min="5382" max="5382" width="13.42578125" style="257" customWidth="1"/>
    <col min="5383" max="5383" width="14.42578125" style="257" customWidth="1"/>
    <col min="5384" max="5384" width="11.42578125" style="257"/>
    <col min="5385" max="5385" width="34.7109375" style="257" customWidth="1"/>
    <col min="5386" max="5632" width="11.42578125" style="257"/>
    <col min="5633" max="5633" width="11.5703125" style="257" customWidth="1"/>
    <col min="5634" max="5634" width="39.140625" style="257" customWidth="1"/>
    <col min="5635" max="5635" width="11.140625" style="257" customWidth="1"/>
    <col min="5636" max="5636" width="12" style="257" customWidth="1"/>
    <col min="5637" max="5637" width="14.42578125" style="257" customWidth="1"/>
    <col min="5638" max="5638" width="13.42578125" style="257" customWidth="1"/>
    <col min="5639" max="5639" width="14.42578125" style="257" customWidth="1"/>
    <col min="5640" max="5640" width="11.42578125" style="257"/>
    <col min="5641" max="5641" width="34.7109375" style="257" customWidth="1"/>
    <col min="5642" max="5888" width="11.42578125" style="257"/>
    <col min="5889" max="5889" width="11.5703125" style="257" customWidth="1"/>
    <col min="5890" max="5890" width="39.140625" style="257" customWidth="1"/>
    <col min="5891" max="5891" width="11.140625" style="257" customWidth="1"/>
    <col min="5892" max="5892" width="12" style="257" customWidth="1"/>
    <col min="5893" max="5893" width="14.42578125" style="257" customWidth="1"/>
    <col min="5894" max="5894" width="13.42578125" style="257" customWidth="1"/>
    <col min="5895" max="5895" width="14.42578125" style="257" customWidth="1"/>
    <col min="5896" max="5896" width="11.42578125" style="257"/>
    <col min="5897" max="5897" width="34.7109375" style="257" customWidth="1"/>
    <col min="5898" max="6144" width="11.42578125" style="257"/>
    <col min="6145" max="6145" width="11.5703125" style="257" customWidth="1"/>
    <col min="6146" max="6146" width="39.140625" style="257" customWidth="1"/>
    <col min="6147" max="6147" width="11.140625" style="257" customWidth="1"/>
    <col min="6148" max="6148" width="12" style="257" customWidth="1"/>
    <col min="6149" max="6149" width="14.42578125" style="257" customWidth="1"/>
    <col min="6150" max="6150" width="13.42578125" style="257" customWidth="1"/>
    <col min="6151" max="6151" width="14.42578125" style="257" customWidth="1"/>
    <col min="6152" max="6152" width="11.42578125" style="257"/>
    <col min="6153" max="6153" width="34.7109375" style="257" customWidth="1"/>
    <col min="6154" max="6400" width="11.42578125" style="257"/>
    <col min="6401" max="6401" width="11.5703125" style="257" customWidth="1"/>
    <col min="6402" max="6402" width="39.140625" style="257" customWidth="1"/>
    <col min="6403" max="6403" width="11.140625" style="257" customWidth="1"/>
    <col min="6404" max="6404" width="12" style="257" customWidth="1"/>
    <col min="6405" max="6405" width="14.42578125" style="257" customWidth="1"/>
    <col min="6406" max="6406" width="13.42578125" style="257" customWidth="1"/>
    <col min="6407" max="6407" width="14.42578125" style="257" customWidth="1"/>
    <col min="6408" max="6408" width="11.42578125" style="257"/>
    <col min="6409" max="6409" width="34.7109375" style="257" customWidth="1"/>
    <col min="6410" max="6656" width="11.42578125" style="257"/>
    <col min="6657" max="6657" width="11.5703125" style="257" customWidth="1"/>
    <col min="6658" max="6658" width="39.140625" style="257" customWidth="1"/>
    <col min="6659" max="6659" width="11.140625" style="257" customWidth="1"/>
    <col min="6660" max="6660" width="12" style="257" customWidth="1"/>
    <col min="6661" max="6661" width="14.42578125" style="257" customWidth="1"/>
    <col min="6662" max="6662" width="13.42578125" style="257" customWidth="1"/>
    <col min="6663" max="6663" width="14.42578125" style="257" customWidth="1"/>
    <col min="6664" max="6664" width="11.42578125" style="257"/>
    <col min="6665" max="6665" width="34.7109375" style="257" customWidth="1"/>
    <col min="6666" max="6912" width="11.42578125" style="257"/>
    <col min="6913" max="6913" width="11.5703125" style="257" customWidth="1"/>
    <col min="6914" max="6914" width="39.140625" style="257" customWidth="1"/>
    <col min="6915" max="6915" width="11.140625" style="257" customWidth="1"/>
    <col min="6916" max="6916" width="12" style="257" customWidth="1"/>
    <col min="6917" max="6917" width="14.42578125" style="257" customWidth="1"/>
    <col min="6918" max="6918" width="13.42578125" style="257" customWidth="1"/>
    <col min="6919" max="6919" width="14.42578125" style="257" customWidth="1"/>
    <col min="6920" max="6920" width="11.42578125" style="257"/>
    <col min="6921" max="6921" width="34.7109375" style="257" customWidth="1"/>
    <col min="6922" max="7168" width="11.42578125" style="257"/>
    <col min="7169" max="7169" width="11.5703125" style="257" customWidth="1"/>
    <col min="7170" max="7170" width="39.140625" style="257" customWidth="1"/>
    <col min="7171" max="7171" width="11.140625" style="257" customWidth="1"/>
    <col min="7172" max="7172" width="12" style="257" customWidth="1"/>
    <col min="7173" max="7173" width="14.42578125" style="257" customWidth="1"/>
    <col min="7174" max="7174" width="13.42578125" style="257" customWidth="1"/>
    <col min="7175" max="7175" width="14.42578125" style="257" customWidth="1"/>
    <col min="7176" max="7176" width="11.42578125" style="257"/>
    <col min="7177" max="7177" width="34.7109375" style="257" customWidth="1"/>
    <col min="7178" max="7424" width="11.42578125" style="257"/>
    <col min="7425" max="7425" width="11.5703125" style="257" customWidth="1"/>
    <col min="7426" max="7426" width="39.140625" style="257" customWidth="1"/>
    <col min="7427" max="7427" width="11.140625" style="257" customWidth="1"/>
    <col min="7428" max="7428" width="12" style="257" customWidth="1"/>
    <col min="7429" max="7429" width="14.42578125" style="257" customWidth="1"/>
    <col min="7430" max="7430" width="13.42578125" style="257" customWidth="1"/>
    <col min="7431" max="7431" width="14.42578125" style="257" customWidth="1"/>
    <col min="7432" max="7432" width="11.42578125" style="257"/>
    <col min="7433" max="7433" width="34.7109375" style="257" customWidth="1"/>
    <col min="7434" max="7680" width="11.42578125" style="257"/>
    <col min="7681" max="7681" width="11.5703125" style="257" customWidth="1"/>
    <col min="7682" max="7682" width="39.140625" style="257" customWidth="1"/>
    <col min="7683" max="7683" width="11.140625" style="257" customWidth="1"/>
    <col min="7684" max="7684" width="12" style="257" customWidth="1"/>
    <col min="7685" max="7685" width="14.42578125" style="257" customWidth="1"/>
    <col min="7686" max="7686" width="13.42578125" style="257" customWidth="1"/>
    <col min="7687" max="7687" width="14.42578125" style="257" customWidth="1"/>
    <col min="7688" max="7688" width="11.42578125" style="257"/>
    <col min="7689" max="7689" width="34.7109375" style="257" customWidth="1"/>
    <col min="7690" max="7936" width="11.42578125" style="257"/>
    <col min="7937" max="7937" width="11.5703125" style="257" customWidth="1"/>
    <col min="7938" max="7938" width="39.140625" style="257" customWidth="1"/>
    <col min="7939" max="7939" width="11.140625" style="257" customWidth="1"/>
    <col min="7940" max="7940" width="12" style="257" customWidth="1"/>
    <col min="7941" max="7941" width="14.42578125" style="257" customWidth="1"/>
    <col min="7942" max="7942" width="13.42578125" style="257" customWidth="1"/>
    <col min="7943" max="7943" width="14.42578125" style="257" customWidth="1"/>
    <col min="7944" max="7944" width="11.42578125" style="257"/>
    <col min="7945" max="7945" width="34.7109375" style="257" customWidth="1"/>
    <col min="7946" max="8192" width="11.42578125" style="257"/>
    <col min="8193" max="8193" width="11.5703125" style="257" customWidth="1"/>
    <col min="8194" max="8194" width="39.140625" style="257" customWidth="1"/>
    <col min="8195" max="8195" width="11.140625" style="257" customWidth="1"/>
    <col min="8196" max="8196" width="12" style="257" customWidth="1"/>
    <col min="8197" max="8197" width="14.42578125" style="257" customWidth="1"/>
    <col min="8198" max="8198" width="13.42578125" style="257" customWidth="1"/>
    <col min="8199" max="8199" width="14.42578125" style="257" customWidth="1"/>
    <col min="8200" max="8200" width="11.42578125" style="257"/>
    <col min="8201" max="8201" width="34.7109375" style="257" customWidth="1"/>
    <col min="8202" max="8448" width="11.42578125" style="257"/>
    <col min="8449" max="8449" width="11.5703125" style="257" customWidth="1"/>
    <col min="8450" max="8450" width="39.140625" style="257" customWidth="1"/>
    <col min="8451" max="8451" width="11.140625" style="257" customWidth="1"/>
    <col min="8452" max="8452" width="12" style="257" customWidth="1"/>
    <col min="8453" max="8453" width="14.42578125" style="257" customWidth="1"/>
    <col min="8454" max="8454" width="13.42578125" style="257" customWidth="1"/>
    <col min="8455" max="8455" width="14.42578125" style="257" customWidth="1"/>
    <col min="8456" max="8456" width="11.42578125" style="257"/>
    <col min="8457" max="8457" width="34.7109375" style="257" customWidth="1"/>
    <col min="8458" max="8704" width="11.42578125" style="257"/>
    <col min="8705" max="8705" width="11.5703125" style="257" customWidth="1"/>
    <col min="8706" max="8706" width="39.140625" style="257" customWidth="1"/>
    <col min="8707" max="8707" width="11.140625" style="257" customWidth="1"/>
    <col min="8708" max="8708" width="12" style="257" customWidth="1"/>
    <col min="8709" max="8709" width="14.42578125" style="257" customWidth="1"/>
    <col min="8710" max="8710" width="13.42578125" style="257" customWidth="1"/>
    <col min="8711" max="8711" width="14.42578125" style="257" customWidth="1"/>
    <col min="8712" max="8712" width="11.42578125" style="257"/>
    <col min="8713" max="8713" width="34.7109375" style="257" customWidth="1"/>
    <col min="8714" max="8960" width="11.42578125" style="257"/>
    <col min="8961" max="8961" width="11.5703125" style="257" customWidth="1"/>
    <col min="8962" max="8962" width="39.140625" style="257" customWidth="1"/>
    <col min="8963" max="8963" width="11.140625" style="257" customWidth="1"/>
    <col min="8964" max="8964" width="12" style="257" customWidth="1"/>
    <col min="8965" max="8965" width="14.42578125" style="257" customWidth="1"/>
    <col min="8966" max="8966" width="13.42578125" style="257" customWidth="1"/>
    <col min="8967" max="8967" width="14.42578125" style="257" customWidth="1"/>
    <col min="8968" max="8968" width="11.42578125" style="257"/>
    <col min="8969" max="8969" width="34.7109375" style="257" customWidth="1"/>
    <col min="8970" max="9216" width="11.42578125" style="257"/>
    <col min="9217" max="9217" width="11.5703125" style="257" customWidth="1"/>
    <col min="9218" max="9218" width="39.140625" style="257" customWidth="1"/>
    <col min="9219" max="9219" width="11.140625" style="257" customWidth="1"/>
    <col min="9220" max="9220" width="12" style="257" customWidth="1"/>
    <col min="9221" max="9221" width="14.42578125" style="257" customWidth="1"/>
    <col min="9222" max="9222" width="13.42578125" style="257" customWidth="1"/>
    <col min="9223" max="9223" width="14.42578125" style="257" customWidth="1"/>
    <col min="9224" max="9224" width="11.42578125" style="257"/>
    <col min="9225" max="9225" width="34.7109375" style="257" customWidth="1"/>
    <col min="9226" max="9472" width="11.42578125" style="257"/>
    <col min="9473" max="9473" width="11.5703125" style="257" customWidth="1"/>
    <col min="9474" max="9474" width="39.140625" style="257" customWidth="1"/>
    <col min="9475" max="9475" width="11.140625" style="257" customWidth="1"/>
    <col min="9476" max="9476" width="12" style="257" customWidth="1"/>
    <col min="9477" max="9477" width="14.42578125" style="257" customWidth="1"/>
    <col min="9478" max="9478" width="13.42578125" style="257" customWidth="1"/>
    <col min="9479" max="9479" width="14.42578125" style="257" customWidth="1"/>
    <col min="9480" max="9480" width="11.42578125" style="257"/>
    <col min="9481" max="9481" width="34.7109375" style="257" customWidth="1"/>
    <col min="9482" max="9728" width="11.42578125" style="257"/>
    <col min="9729" max="9729" width="11.5703125" style="257" customWidth="1"/>
    <col min="9730" max="9730" width="39.140625" style="257" customWidth="1"/>
    <col min="9731" max="9731" width="11.140625" style="257" customWidth="1"/>
    <col min="9732" max="9732" width="12" style="257" customWidth="1"/>
    <col min="9733" max="9733" width="14.42578125" style="257" customWidth="1"/>
    <col min="9734" max="9734" width="13.42578125" style="257" customWidth="1"/>
    <col min="9735" max="9735" width="14.42578125" style="257" customWidth="1"/>
    <col min="9736" max="9736" width="11.42578125" style="257"/>
    <col min="9737" max="9737" width="34.7109375" style="257" customWidth="1"/>
    <col min="9738" max="9984" width="11.42578125" style="257"/>
    <col min="9985" max="9985" width="11.5703125" style="257" customWidth="1"/>
    <col min="9986" max="9986" width="39.140625" style="257" customWidth="1"/>
    <col min="9987" max="9987" width="11.140625" style="257" customWidth="1"/>
    <col min="9988" max="9988" width="12" style="257" customWidth="1"/>
    <col min="9989" max="9989" width="14.42578125" style="257" customWidth="1"/>
    <col min="9990" max="9990" width="13.42578125" style="257" customWidth="1"/>
    <col min="9991" max="9991" width="14.42578125" style="257" customWidth="1"/>
    <col min="9992" max="9992" width="11.42578125" style="257"/>
    <col min="9993" max="9993" width="34.7109375" style="257" customWidth="1"/>
    <col min="9994" max="10240" width="11.42578125" style="257"/>
    <col min="10241" max="10241" width="11.5703125" style="257" customWidth="1"/>
    <col min="10242" max="10242" width="39.140625" style="257" customWidth="1"/>
    <col min="10243" max="10243" width="11.140625" style="257" customWidth="1"/>
    <col min="10244" max="10244" width="12" style="257" customWidth="1"/>
    <col min="10245" max="10245" width="14.42578125" style="257" customWidth="1"/>
    <col min="10246" max="10246" width="13.42578125" style="257" customWidth="1"/>
    <col min="10247" max="10247" width="14.42578125" style="257" customWidth="1"/>
    <col min="10248" max="10248" width="11.42578125" style="257"/>
    <col min="10249" max="10249" width="34.7109375" style="257" customWidth="1"/>
    <col min="10250" max="10496" width="11.42578125" style="257"/>
    <col min="10497" max="10497" width="11.5703125" style="257" customWidth="1"/>
    <col min="10498" max="10498" width="39.140625" style="257" customWidth="1"/>
    <col min="10499" max="10499" width="11.140625" style="257" customWidth="1"/>
    <col min="10500" max="10500" width="12" style="257" customWidth="1"/>
    <col min="10501" max="10501" width="14.42578125" style="257" customWidth="1"/>
    <col min="10502" max="10502" width="13.42578125" style="257" customWidth="1"/>
    <col min="10503" max="10503" width="14.42578125" style="257" customWidth="1"/>
    <col min="10504" max="10504" width="11.42578125" style="257"/>
    <col min="10505" max="10505" width="34.7109375" style="257" customWidth="1"/>
    <col min="10506" max="10752" width="11.42578125" style="257"/>
    <col min="10753" max="10753" width="11.5703125" style="257" customWidth="1"/>
    <col min="10754" max="10754" width="39.140625" style="257" customWidth="1"/>
    <col min="10755" max="10755" width="11.140625" style="257" customWidth="1"/>
    <col min="10756" max="10756" width="12" style="257" customWidth="1"/>
    <col min="10757" max="10757" width="14.42578125" style="257" customWidth="1"/>
    <col min="10758" max="10758" width="13.42578125" style="257" customWidth="1"/>
    <col min="10759" max="10759" width="14.42578125" style="257" customWidth="1"/>
    <col min="10760" max="10760" width="11.42578125" style="257"/>
    <col min="10761" max="10761" width="34.7109375" style="257" customWidth="1"/>
    <col min="10762" max="11008" width="11.42578125" style="257"/>
    <col min="11009" max="11009" width="11.5703125" style="257" customWidth="1"/>
    <col min="11010" max="11010" width="39.140625" style="257" customWidth="1"/>
    <col min="11011" max="11011" width="11.140625" style="257" customWidth="1"/>
    <col min="11012" max="11012" width="12" style="257" customWidth="1"/>
    <col min="11013" max="11013" width="14.42578125" style="257" customWidth="1"/>
    <col min="11014" max="11014" width="13.42578125" style="257" customWidth="1"/>
    <col min="11015" max="11015" width="14.42578125" style="257" customWidth="1"/>
    <col min="11016" max="11016" width="11.42578125" style="257"/>
    <col min="11017" max="11017" width="34.7109375" style="257" customWidth="1"/>
    <col min="11018" max="11264" width="11.42578125" style="257"/>
    <col min="11265" max="11265" width="11.5703125" style="257" customWidth="1"/>
    <col min="11266" max="11266" width="39.140625" style="257" customWidth="1"/>
    <col min="11267" max="11267" width="11.140625" style="257" customWidth="1"/>
    <col min="11268" max="11268" width="12" style="257" customWidth="1"/>
    <col min="11269" max="11269" width="14.42578125" style="257" customWidth="1"/>
    <col min="11270" max="11270" width="13.42578125" style="257" customWidth="1"/>
    <col min="11271" max="11271" width="14.42578125" style="257" customWidth="1"/>
    <col min="11272" max="11272" width="11.42578125" style="257"/>
    <col min="11273" max="11273" width="34.7109375" style="257" customWidth="1"/>
    <col min="11274" max="11520" width="11.42578125" style="257"/>
    <col min="11521" max="11521" width="11.5703125" style="257" customWidth="1"/>
    <col min="11522" max="11522" width="39.140625" style="257" customWidth="1"/>
    <col min="11523" max="11523" width="11.140625" style="257" customWidth="1"/>
    <col min="11524" max="11524" width="12" style="257" customWidth="1"/>
    <col min="11525" max="11525" width="14.42578125" style="257" customWidth="1"/>
    <col min="11526" max="11526" width="13.42578125" style="257" customWidth="1"/>
    <col min="11527" max="11527" width="14.42578125" style="257" customWidth="1"/>
    <col min="11528" max="11528" width="11.42578125" style="257"/>
    <col min="11529" max="11529" width="34.7109375" style="257" customWidth="1"/>
    <col min="11530" max="11776" width="11.42578125" style="257"/>
    <col min="11777" max="11777" width="11.5703125" style="257" customWidth="1"/>
    <col min="11778" max="11778" width="39.140625" style="257" customWidth="1"/>
    <col min="11779" max="11779" width="11.140625" style="257" customWidth="1"/>
    <col min="11780" max="11780" width="12" style="257" customWidth="1"/>
    <col min="11781" max="11781" width="14.42578125" style="257" customWidth="1"/>
    <col min="11782" max="11782" width="13.42578125" style="257" customWidth="1"/>
    <col min="11783" max="11783" width="14.42578125" style="257" customWidth="1"/>
    <col min="11784" max="11784" width="11.42578125" style="257"/>
    <col min="11785" max="11785" width="34.7109375" style="257" customWidth="1"/>
    <col min="11786" max="12032" width="11.42578125" style="257"/>
    <col min="12033" max="12033" width="11.5703125" style="257" customWidth="1"/>
    <col min="12034" max="12034" width="39.140625" style="257" customWidth="1"/>
    <col min="12035" max="12035" width="11.140625" style="257" customWidth="1"/>
    <col min="12036" max="12036" width="12" style="257" customWidth="1"/>
    <col min="12037" max="12037" width="14.42578125" style="257" customWidth="1"/>
    <col min="12038" max="12038" width="13.42578125" style="257" customWidth="1"/>
    <col min="12039" max="12039" width="14.42578125" style="257" customWidth="1"/>
    <col min="12040" max="12040" width="11.42578125" style="257"/>
    <col min="12041" max="12041" width="34.7109375" style="257" customWidth="1"/>
    <col min="12042" max="12288" width="11.42578125" style="257"/>
    <col min="12289" max="12289" width="11.5703125" style="257" customWidth="1"/>
    <col min="12290" max="12290" width="39.140625" style="257" customWidth="1"/>
    <col min="12291" max="12291" width="11.140625" style="257" customWidth="1"/>
    <col min="12292" max="12292" width="12" style="257" customWidth="1"/>
    <col min="12293" max="12293" width="14.42578125" style="257" customWidth="1"/>
    <col min="12294" max="12294" width="13.42578125" style="257" customWidth="1"/>
    <col min="12295" max="12295" width="14.42578125" style="257" customWidth="1"/>
    <col min="12296" max="12296" width="11.42578125" style="257"/>
    <col min="12297" max="12297" width="34.7109375" style="257" customWidth="1"/>
    <col min="12298" max="12544" width="11.42578125" style="257"/>
    <col min="12545" max="12545" width="11.5703125" style="257" customWidth="1"/>
    <col min="12546" max="12546" width="39.140625" style="257" customWidth="1"/>
    <col min="12547" max="12547" width="11.140625" style="257" customWidth="1"/>
    <col min="12548" max="12548" width="12" style="257" customWidth="1"/>
    <col min="12549" max="12549" width="14.42578125" style="257" customWidth="1"/>
    <col min="12550" max="12550" width="13.42578125" style="257" customWidth="1"/>
    <col min="12551" max="12551" width="14.42578125" style="257" customWidth="1"/>
    <col min="12552" max="12552" width="11.42578125" style="257"/>
    <col min="12553" max="12553" width="34.7109375" style="257" customWidth="1"/>
    <col min="12554" max="12800" width="11.42578125" style="257"/>
    <col min="12801" max="12801" width="11.5703125" style="257" customWidth="1"/>
    <col min="12802" max="12802" width="39.140625" style="257" customWidth="1"/>
    <col min="12803" max="12803" width="11.140625" style="257" customWidth="1"/>
    <col min="12804" max="12804" width="12" style="257" customWidth="1"/>
    <col min="12805" max="12805" width="14.42578125" style="257" customWidth="1"/>
    <col min="12806" max="12806" width="13.42578125" style="257" customWidth="1"/>
    <col min="12807" max="12807" width="14.42578125" style="257" customWidth="1"/>
    <col min="12808" max="12808" width="11.42578125" style="257"/>
    <col min="12809" max="12809" width="34.7109375" style="257" customWidth="1"/>
    <col min="12810" max="13056" width="11.42578125" style="257"/>
    <col min="13057" max="13057" width="11.5703125" style="257" customWidth="1"/>
    <col min="13058" max="13058" width="39.140625" style="257" customWidth="1"/>
    <col min="13059" max="13059" width="11.140625" style="257" customWidth="1"/>
    <col min="13060" max="13060" width="12" style="257" customWidth="1"/>
    <col min="13061" max="13061" width="14.42578125" style="257" customWidth="1"/>
    <col min="13062" max="13062" width="13.42578125" style="257" customWidth="1"/>
    <col min="13063" max="13063" width="14.42578125" style="257" customWidth="1"/>
    <col min="13064" max="13064" width="11.42578125" style="257"/>
    <col min="13065" max="13065" width="34.7109375" style="257" customWidth="1"/>
    <col min="13066" max="13312" width="11.42578125" style="257"/>
    <col min="13313" max="13313" width="11.5703125" style="257" customWidth="1"/>
    <col min="13314" max="13314" width="39.140625" style="257" customWidth="1"/>
    <col min="13315" max="13315" width="11.140625" style="257" customWidth="1"/>
    <col min="13316" max="13316" width="12" style="257" customWidth="1"/>
    <col min="13317" max="13317" width="14.42578125" style="257" customWidth="1"/>
    <col min="13318" max="13318" width="13.42578125" style="257" customWidth="1"/>
    <col min="13319" max="13319" width="14.42578125" style="257" customWidth="1"/>
    <col min="13320" max="13320" width="11.42578125" style="257"/>
    <col min="13321" max="13321" width="34.7109375" style="257" customWidth="1"/>
    <col min="13322" max="13568" width="11.42578125" style="257"/>
    <col min="13569" max="13569" width="11.5703125" style="257" customWidth="1"/>
    <col min="13570" max="13570" width="39.140625" style="257" customWidth="1"/>
    <col min="13571" max="13571" width="11.140625" style="257" customWidth="1"/>
    <col min="13572" max="13572" width="12" style="257" customWidth="1"/>
    <col min="13573" max="13573" width="14.42578125" style="257" customWidth="1"/>
    <col min="13574" max="13574" width="13.42578125" style="257" customWidth="1"/>
    <col min="13575" max="13575" width="14.42578125" style="257" customWidth="1"/>
    <col min="13576" max="13576" width="11.42578125" style="257"/>
    <col min="13577" max="13577" width="34.7109375" style="257" customWidth="1"/>
    <col min="13578" max="13824" width="11.42578125" style="257"/>
    <col min="13825" max="13825" width="11.5703125" style="257" customWidth="1"/>
    <col min="13826" max="13826" width="39.140625" style="257" customWidth="1"/>
    <col min="13827" max="13827" width="11.140625" style="257" customWidth="1"/>
    <col min="13828" max="13828" width="12" style="257" customWidth="1"/>
    <col min="13829" max="13829" width="14.42578125" style="257" customWidth="1"/>
    <col min="13830" max="13830" width="13.42578125" style="257" customWidth="1"/>
    <col min="13831" max="13831" width="14.42578125" style="257" customWidth="1"/>
    <col min="13832" max="13832" width="11.42578125" style="257"/>
    <col min="13833" max="13833" width="34.7109375" style="257" customWidth="1"/>
    <col min="13834" max="14080" width="11.42578125" style="257"/>
    <col min="14081" max="14081" width="11.5703125" style="257" customWidth="1"/>
    <col min="14082" max="14082" width="39.140625" style="257" customWidth="1"/>
    <col min="14083" max="14083" width="11.140625" style="257" customWidth="1"/>
    <col min="14084" max="14084" width="12" style="257" customWidth="1"/>
    <col min="14085" max="14085" width="14.42578125" style="257" customWidth="1"/>
    <col min="14086" max="14086" width="13.42578125" style="257" customWidth="1"/>
    <col min="14087" max="14087" width="14.42578125" style="257" customWidth="1"/>
    <col min="14088" max="14088" width="11.42578125" style="257"/>
    <col min="14089" max="14089" width="34.7109375" style="257" customWidth="1"/>
    <col min="14090" max="14336" width="11.42578125" style="257"/>
    <col min="14337" max="14337" width="11.5703125" style="257" customWidth="1"/>
    <col min="14338" max="14338" width="39.140625" style="257" customWidth="1"/>
    <col min="14339" max="14339" width="11.140625" style="257" customWidth="1"/>
    <col min="14340" max="14340" width="12" style="257" customWidth="1"/>
    <col min="14341" max="14341" width="14.42578125" style="257" customWidth="1"/>
    <col min="14342" max="14342" width="13.42578125" style="257" customWidth="1"/>
    <col min="14343" max="14343" width="14.42578125" style="257" customWidth="1"/>
    <col min="14344" max="14344" width="11.42578125" style="257"/>
    <col min="14345" max="14345" width="34.7109375" style="257" customWidth="1"/>
    <col min="14346" max="14592" width="11.42578125" style="257"/>
    <col min="14593" max="14593" width="11.5703125" style="257" customWidth="1"/>
    <col min="14594" max="14594" width="39.140625" style="257" customWidth="1"/>
    <col min="14595" max="14595" width="11.140625" style="257" customWidth="1"/>
    <col min="14596" max="14596" width="12" style="257" customWidth="1"/>
    <col min="14597" max="14597" width="14.42578125" style="257" customWidth="1"/>
    <col min="14598" max="14598" width="13.42578125" style="257" customWidth="1"/>
    <col min="14599" max="14599" width="14.42578125" style="257" customWidth="1"/>
    <col min="14600" max="14600" width="11.42578125" style="257"/>
    <col min="14601" max="14601" width="34.7109375" style="257" customWidth="1"/>
    <col min="14602" max="14848" width="11.42578125" style="257"/>
    <col min="14849" max="14849" width="11.5703125" style="257" customWidth="1"/>
    <col min="14850" max="14850" width="39.140625" style="257" customWidth="1"/>
    <col min="14851" max="14851" width="11.140625" style="257" customWidth="1"/>
    <col min="14852" max="14852" width="12" style="257" customWidth="1"/>
    <col min="14853" max="14853" width="14.42578125" style="257" customWidth="1"/>
    <col min="14854" max="14854" width="13.42578125" style="257" customWidth="1"/>
    <col min="14855" max="14855" width="14.42578125" style="257" customWidth="1"/>
    <col min="14856" max="14856" width="11.42578125" style="257"/>
    <col min="14857" max="14857" width="34.7109375" style="257" customWidth="1"/>
    <col min="14858" max="15104" width="11.42578125" style="257"/>
    <col min="15105" max="15105" width="11.5703125" style="257" customWidth="1"/>
    <col min="15106" max="15106" width="39.140625" style="257" customWidth="1"/>
    <col min="15107" max="15107" width="11.140625" style="257" customWidth="1"/>
    <col min="15108" max="15108" width="12" style="257" customWidth="1"/>
    <col min="15109" max="15109" width="14.42578125" style="257" customWidth="1"/>
    <col min="15110" max="15110" width="13.42578125" style="257" customWidth="1"/>
    <col min="15111" max="15111" width="14.42578125" style="257" customWidth="1"/>
    <col min="15112" max="15112" width="11.42578125" style="257"/>
    <col min="15113" max="15113" width="34.7109375" style="257" customWidth="1"/>
    <col min="15114" max="15360" width="11.42578125" style="257"/>
    <col min="15361" max="15361" width="11.5703125" style="257" customWidth="1"/>
    <col min="15362" max="15362" width="39.140625" style="257" customWidth="1"/>
    <col min="15363" max="15363" width="11.140625" style="257" customWidth="1"/>
    <col min="15364" max="15364" width="12" style="257" customWidth="1"/>
    <col min="15365" max="15365" width="14.42578125" style="257" customWidth="1"/>
    <col min="15366" max="15366" width="13.42578125" style="257" customWidth="1"/>
    <col min="15367" max="15367" width="14.42578125" style="257" customWidth="1"/>
    <col min="15368" max="15368" width="11.42578125" style="257"/>
    <col min="15369" max="15369" width="34.7109375" style="257" customWidth="1"/>
    <col min="15370" max="15616" width="11.42578125" style="257"/>
    <col min="15617" max="15617" width="11.5703125" style="257" customWidth="1"/>
    <col min="15618" max="15618" width="39.140625" style="257" customWidth="1"/>
    <col min="15619" max="15619" width="11.140625" style="257" customWidth="1"/>
    <col min="15620" max="15620" width="12" style="257" customWidth="1"/>
    <col min="15621" max="15621" width="14.42578125" style="257" customWidth="1"/>
    <col min="15622" max="15622" width="13.42578125" style="257" customWidth="1"/>
    <col min="15623" max="15623" width="14.42578125" style="257" customWidth="1"/>
    <col min="15624" max="15624" width="11.42578125" style="257"/>
    <col min="15625" max="15625" width="34.7109375" style="257" customWidth="1"/>
    <col min="15626" max="15872" width="11.42578125" style="257"/>
    <col min="15873" max="15873" width="11.5703125" style="257" customWidth="1"/>
    <col min="15874" max="15874" width="39.140625" style="257" customWidth="1"/>
    <col min="15875" max="15875" width="11.140625" style="257" customWidth="1"/>
    <col min="15876" max="15876" width="12" style="257" customWidth="1"/>
    <col min="15877" max="15877" width="14.42578125" style="257" customWidth="1"/>
    <col min="15878" max="15878" width="13.42578125" style="257" customWidth="1"/>
    <col min="15879" max="15879" width="14.42578125" style="257" customWidth="1"/>
    <col min="15880" max="15880" width="11.42578125" style="257"/>
    <col min="15881" max="15881" width="34.7109375" style="257" customWidth="1"/>
    <col min="15882" max="16128" width="11.42578125" style="257"/>
    <col min="16129" max="16129" width="11.5703125" style="257" customWidth="1"/>
    <col min="16130" max="16130" width="39.140625" style="257" customWidth="1"/>
    <col min="16131" max="16131" width="11.140625" style="257" customWidth="1"/>
    <col min="16132" max="16132" width="12" style="257" customWidth="1"/>
    <col min="16133" max="16133" width="14.42578125" style="257" customWidth="1"/>
    <col min="16134" max="16134" width="13.42578125" style="257" customWidth="1"/>
    <col min="16135" max="16135" width="14.42578125" style="257" customWidth="1"/>
    <col min="16136" max="16136" width="11.42578125" style="257"/>
    <col min="16137" max="16137" width="34.7109375" style="257" customWidth="1"/>
    <col min="16138" max="16384" width="11.42578125" style="257"/>
  </cols>
  <sheetData>
    <row r="1" spans="1:7" ht="21.75" customHeight="1" x14ac:dyDescent="0.25">
      <c r="A1" s="466" t="s">
        <v>518</v>
      </c>
      <c r="B1" s="466"/>
      <c r="C1" s="466"/>
      <c r="D1" s="466"/>
      <c r="E1" s="466"/>
      <c r="F1" s="466"/>
      <c r="G1" s="466"/>
    </row>
    <row r="2" spans="1:7" ht="21.75" customHeight="1" x14ac:dyDescent="0.25">
      <c r="A2" s="258"/>
      <c r="B2" s="258"/>
      <c r="C2" s="258"/>
      <c r="D2" s="258"/>
      <c r="E2" s="258"/>
      <c r="F2" s="258"/>
      <c r="G2" s="258"/>
    </row>
    <row r="3" spans="1:7" ht="21.75" customHeight="1" x14ac:dyDescent="0.25">
      <c r="B3" s="470" t="s">
        <v>354</v>
      </c>
      <c r="C3" s="470"/>
      <c r="D3" s="470"/>
      <c r="E3" s="470"/>
      <c r="F3" s="470"/>
      <c r="G3" s="259"/>
    </row>
    <row r="4" spans="1:7" ht="21.75" customHeight="1" x14ac:dyDescent="0.25">
      <c r="A4" s="260"/>
    </row>
    <row r="5" spans="1:7" ht="45" customHeight="1" x14ac:dyDescent="0.2">
      <c r="A5" s="262" t="s">
        <v>531</v>
      </c>
      <c r="B5" s="467" t="str">
        <f>+'RENGLON 1'!C4</f>
        <v>INSPECCIÓN DETALLADA y DIAGNOSTICO ESTRUCTURAL DE OBRAS DE ARTE AMBA - LINEA MITRE-ETAPA 1</v>
      </c>
      <c r="C5" s="467"/>
      <c r="D5" s="467"/>
      <c r="E5" s="467"/>
      <c r="F5" s="467"/>
      <c r="G5" s="467"/>
    </row>
    <row r="6" spans="1:7" ht="21.75" customHeight="1" x14ac:dyDescent="0.2">
      <c r="A6" s="263" t="str">
        <f>+'[2]PC-1'!F18</f>
        <v>PET</v>
      </c>
      <c r="B6" s="457" t="str">
        <f>+'RENGLON 1'!C5</f>
        <v>MT-VO-ET-073   Rev.: 0</v>
      </c>
      <c r="C6" s="263"/>
      <c r="G6" s="263"/>
    </row>
    <row r="7" spans="1:7" ht="16.5" thickBot="1" x14ac:dyDescent="0.3">
      <c r="A7" s="264"/>
    </row>
    <row r="8" spans="1:7" ht="22.5" customHeight="1" thickBot="1" x14ac:dyDescent="0.25">
      <c r="A8" s="265" t="s">
        <v>2</v>
      </c>
      <c r="B8" s="266"/>
      <c r="C8" s="267"/>
      <c r="D8" s="268"/>
      <c r="E8" s="266"/>
      <c r="F8" s="269" t="s">
        <v>355</v>
      </c>
      <c r="G8" s="270"/>
    </row>
    <row r="9" spans="1:7" ht="9" customHeight="1" x14ac:dyDescent="0.2">
      <c r="A9" s="271"/>
      <c r="B9" s="272"/>
      <c r="C9" s="273"/>
      <c r="D9" s="274"/>
      <c r="E9" s="272"/>
      <c r="F9" s="275"/>
      <c r="G9" s="274"/>
    </row>
    <row r="10" spans="1:7" ht="16.5" customHeight="1" x14ac:dyDescent="0.2">
      <c r="A10" s="271"/>
      <c r="B10" s="272"/>
      <c r="C10" s="273"/>
      <c r="D10" s="274"/>
      <c r="E10" s="468" t="s">
        <v>356</v>
      </c>
      <c r="F10" s="469"/>
      <c r="G10" s="276"/>
    </row>
    <row r="11" spans="1:7" ht="18" customHeight="1" thickBot="1" x14ac:dyDescent="0.25"/>
    <row r="12" spans="1:7" ht="38.25" x14ac:dyDescent="0.2">
      <c r="A12" s="277" t="s">
        <v>357</v>
      </c>
      <c r="B12" s="278" t="s">
        <v>358</v>
      </c>
      <c r="C12" s="278" t="s">
        <v>359</v>
      </c>
      <c r="D12" s="278" t="s">
        <v>5</v>
      </c>
      <c r="E12" s="278" t="s">
        <v>360</v>
      </c>
      <c r="F12" s="278" t="s">
        <v>361</v>
      </c>
      <c r="G12" s="279" t="s">
        <v>362</v>
      </c>
    </row>
    <row r="13" spans="1:7" ht="13.5" thickBot="1" x14ac:dyDescent="0.25">
      <c r="A13" s="280">
        <v>1</v>
      </c>
      <c r="B13" s="281">
        <v>2</v>
      </c>
      <c r="C13" s="281">
        <v>3</v>
      </c>
      <c r="D13" s="281">
        <v>4</v>
      </c>
      <c r="E13" s="281">
        <v>5</v>
      </c>
      <c r="F13" s="281" t="s">
        <v>363</v>
      </c>
      <c r="G13" s="282">
        <v>7</v>
      </c>
    </row>
    <row r="14" spans="1:7" ht="6" customHeight="1" thickBot="1" x14ac:dyDescent="0.25"/>
    <row r="15" spans="1:7" x14ac:dyDescent="0.2">
      <c r="A15" s="283" t="s">
        <v>364</v>
      </c>
      <c r="B15" s="284" t="s">
        <v>365</v>
      </c>
      <c r="C15" s="285"/>
      <c r="D15" s="285"/>
      <c r="E15" s="286"/>
      <c r="F15" s="286"/>
      <c r="G15" s="287">
        <f>SUM(F16:F21)</f>
        <v>0</v>
      </c>
    </row>
    <row r="16" spans="1:7" ht="14.25" customHeight="1" x14ac:dyDescent="0.2">
      <c r="A16" s="288"/>
      <c r="B16" s="276"/>
      <c r="C16" s="289"/>
      <c r="D16" s="289"/>
      <c r="E16" s="290"/>
      <c r="F16" s="290">
        <f>D16*E16</f>
        <v>0</v>
      </c>
      <c r="G16" s="291"/>
    </row>
    <row r="17" spans="1:9" ht="14.25" customHeight="1" x14ac:dyDescent="0.2">
      <c r="A17" s="288"/>
      <c r="B17" s="276"/>
      <c r="C17" s="289"/>
      <c r="D17" s="289"/>
      <c r="E17" s="290"/>
      <c r="F17" s="290">
        <f>D17*E17</f>
        <v>0</v>
      </c>
      <c r="G17" s="292"/>
    </row>
    <row r="18" spans="1:9" ht="14.25" customHeight="1" x14ac:dyDescent="0.2">
      <c r="A18" s="288"/>
      <c r="B18" s="276"/>
      <c r="C18" s="289"/>
      <c r="D18" s="289"/>
      <c r="E18" s="290"/>
      <c r="F18" s="290">
        <f>D18*E18</f>
        <v>0</v>
      </c>
      <c r="G18" s="292"/>
    </row>
    <row r="19" spans="1:9" ht="14.25" customHeight="1" x14ac:dyDescent="0.2">
      <c r="A19" s="288"/>
      <c r="B19" s="276"/>
      <c r="C19" s="289"/>
      <c r="D19" s="289"/>
      <c r="E19" s="290"/>
      <c r="F19" s="290">
        <f>D19*E19</f>
        <v>0</v>
      </c>
      <c r="G19" s="292"/>
    </row>
    <row r="20" spans="1:9" ht="14.25" customHeight="1" x14ac:dyDescent="0.2">
      <c r="A20" s="288"/>
      <c r="B20" s="276"/>
      <c r="C20" s="289"/>
      <c r="D20" s="289"/>
      <c r="E20" s="290"/>
      <c r="F20" s="290">
        <f>D20*E20</f>
        <v>0</v>
      </c>
      <c r="G20" s="292"/>
    </row>
    <row r="21" spans="1:9" x14ac:dyDescent="0.2">
      <c r="A21" s="293"/>
      <c r="B21" s="276"/>
      <c r="C21" s="289"/>
      <c r="D21" s="289"/>
      <c r="E21" s="290"/>
      <c r="F21" s="290"/>
      <c r="G21" s="294"/>
    </row>
    <row r="22" spans="1:9" x14ac:dyDescent="0.2">
      <c r="A22" s="295"/>
      <c r="B22" s="296"/>
      <c r="C22" s="297"/>
      <c r="D22" s="296"/>
      <c r="E22" s="298"/>
      <c r="F22" s="296"/>
      <c r="G22" s="299"/>
    </row>
    <row r="23" spans="1:9" x14ac:dyDescent="0.2">
      <c r="A23" s="300" t="s">
        <v>366</v>
      </c>
      <c r="B23" s="301" t="s">
        <v>367</v>
      </c>
      <c r="C23" s="302"/>
      <c r="D23" s="302"/>
      <c r="E23" s="303"/>
      <c r="F23" s="304"/>
      <c r="G23" s="305">
        <f>SUM(F24:F29)</f>
        <v>0</v>
      </c>
    </row>
    <row r="24" spans="1:9" x14ac:dyDescent="0.2">
      <c r="A24" s="288"/>
      <c r="B24" s="276"/>
      <c r="C24" s="289"/>
      <c r="D24" s="306"/>
      <c r="E24" s="307"/>
      <c r="F24" s="290">
        <f t="shared" ref="F24:F29" si="0">D24*E24</f>
        <v>0</v>
      </c>
      <c r="G24" s="308"/>
      <c r="I24" s="309"/>
    </row>
    <row r="25" spans="1:9" x14ac:dyDescent="0.2">
      <c r="A25" s="288"/>
      <c r="B25" s="276"/>
      <c r="C25" s="289"/>
      <c r="D25" s="306"/>
      <c r="E25" s="307"/>
      <c r="F25" s="290">
        <f t="shared" si="0"/>
        <v>0</v>
      </c>
      <c r="G25" s="310"/>
      <c r="I25" s="309"/>
    </row>
    <row r="26" spans="1:9" x14ac:dyDescent="0.2">
      <c r="A26" s="288"/>
      <c r="B26" s="276"/>
      <c r="C26" s="289"/>
      <c r="D26" s="306"/>
      <c r="E26" s="307"/>
      <c r="F26" s="290">
        <f t="shared" si="0"/>
        <v>0</v>
      </c>
      <c r="G26" s="310"/>
      <c r="I26" s="309"/>
    </row>
    <row r="27" spans="1:9" x14ac:dyDescent="0.2">
      <c r="A27" s="288"/>
      <c r="B27" s="276"/>
      <c r="C27" s="289"/>
      <c r="D27" s="306"/>
      <c r="E27" s="307"/>
      <c r="F27" s="290">
        <f t="shared" si="0"/>
        <v>0</v>
      </c>
      <c r="G27" s="310"/>
      <c r="I27" s="309"/>
    </row>
    <row r="28" spans="1:9" x14ac:dyDescent="0.2">
      <c r="A28" s="288"/>
      <c r="B28" s="276"/>
      <c r="C28" s="289"/>
      <c r="D28" s="306"/>
      <c r="E28" s="307"/>
      <c r="F28" s="290">
        <f t="shared" si="0"/>
        <v>0</v>
      </c>
      <c r="G28" s="310"/>
      <c r="I28" s="309"/>
    </row>
    <row r="29" spans="1:9" x14ac:dyDescent="0.2">
      <c r="A29" s="288"/>
      <c r="B29" s="311"/>
      <c r="C29" s="289"/>
      <c r="D29" s="312"/>
      <c r="E29" s="307"/>
      <c r="F29" s="290">
        <f t="shared" si="0"/>
        <v>0</v>
      </c>
      <c r="G29" s="313"/>
      <c r="I29" s="309"/>
    </row>
    <row r="30" spans="1:9" x14ac:dyDescent="0.2">
      <c r="A30" s="314"/>
      <c r="B30" s="274"/>
      <c r="C30" s="274"/>
      <c r="D30" s="274"/>
      <c r="E30" s="272"/>
      <c r="F30" s="274"/>
      <c r="G30" s="299"/>
    </row>
    <row r="31" spans="1:9" x14ac:dyDescent="0.2">
      <c r="A31" s="300" t="s">
        <v>368</v>
      </c>
      <c r="B31" s="301" t="s">
        <v>369</v>
      </c>
      <c r="C31" s="302"/>
      <c r="D31" s="302"/>
      <c r="E31" s="303"/>
      <c r="F31" s="304"/>
      <c r="G31" s="305">
        <f>SUM(F32:F33)</f>
        <v>0</v>
      </c>
    </row>
    <row r="32" spans="1:9" x14ac:dyDescent="0.2">
      <c r="A32" s="288"/>
      <c r="B32" s="276"/>
      <c r="C32" s="289"/>
      <c r="D32" s="289"/>
      <c r="E32" s="290"/>
      <c r="F32" s="290">
        <f>D32*E32</f>
        <v>0</v>
      </c>
      <c r="G32" s="291"/>
    </row>
    <row r="33" spans="1:7" x14ac:dyDescent="0.2">
      <c r="A33" s="293"/>
      <c r="B33" s="276"/>
      <c r="C33" s="289"/>
      <c r="D33" s="315"/>
      <c r="E33" s="290"/>
      <c r="F33" s="290"/>
      <c r="G33" s="294"/>
    </row>
    <row r="34" spans="1:7" x14ac:dyDescent="0.2">
      <c r="A34" s="314"/>
      <c r="B34" s="274"/>
      <c r="C34" s="273"/>
      <c r="D34" s="273"/>
      <c r="E34" s="316"/>
      <c r="F34" s="317"/>
      <c r="G34" s="299"/>
    </row>
    <row r="35" spans="1:7" x14ac:dyDescent="0.2">
      <c r="A35" s="300" t="s">
        <v>370</v>
      </c>
      <c r="B35" s="301" t="s">
        <v>371</v>
      </c>
      <c r="C35" s="302"/>
      <c r="D35" s="302"/>
      <c r="E35" s="303"/>
      <c r="F35" s="304"/>
      <c r="G35" s="305">
        <f>SUM(F36:F41)</f>
        <v>0</v>
      </c>
    </row>
    <row r="36" spans="1:7" x14ac:dyDescent="0.2">
      <c r="A36" s="288"/>
      <c r="B36" s="318"/>
      <c r="C36" s="289"/>
      <c r="D36" s="319"/>
      <c r="E36" s="290"/>
      <c r="F36" s="290">
        <f>D36*E36</f>
        <v>0</v>
      </c>
      <c r="G36" s="291"/>
    </row>
    <row r="37" spans="1:7" x14ac:dyDescent="0.2">
      <c r="A37" s="288"/>
      <c r="B37" s="276"/>
      <c r="C37" s="289"/>
      <c r="D37" s="320"/>
      <c r="E37" s="290"/>
      <c r="F37" s="290">
        <f>D37*E37</f>
        <v>0</v>
      </c>
      <c r="G37" s="292"/>
    </row>
    <row r="38" spans="1:7" x14ac:dyDescent="0.2">
      <c r="A38" s="288"/>
      <c r="B38" s="276"/>
      <c r="C38" s="289"/>
      <c r="D38" s="289"/>
      <c r="E38" s="290"/>
      <c r="F38" s="290">
        <f>D38*E38</f>
        <v>0</v>
      </c>
      <c r="G38" s="292"/>
    </row>
    <row r="39" spans="1:7" x14ac:dyDescent="0.2">
      <c r="A39" s="288"/>
      <c r="B39" s="276"/>
      <c r="C39" s="289"/>
      <c r="D39" s="289"/>
      <c r="E39" s="290"/>
      <c r="F39" s="290">
        <f>D39*E39</f>
        <v>0</v>
      </c>
      <c r="G39" s="292"/>
    </row>
    <row r="40" spans="1:7" x14ac:dyDescent="0.2">
      <c r="A40" s="288"/>
      <c r="B40" s="276"/>
      <c r="C40" s="289"/>
      <c r="D40" s="289"/>
      <c r="E40" s="290"/>
      <c r="F40" s="290">
        <f>D40*E40</f>
        <v>0</v>
      </c>
      <c r="G40" s="292"/>
    </row>
    <row r="41" spans="1:7" x14ac:dyDescent="0.2">
      <c r="A41" s="293"/>
      <c r="B41" s="276"/>
      <c r="C41" s="289"/>
      <c r="D41" s="289"/>
      <c r="E41" s="290"/>
      <c r="F41" s="290"/>
      <c r="G41" s="294"/>
    </row>
    <row r="42" spans="1:7" x14ac:dyDescent="0.2">
      <c r="A42" s="314"/>
      <c r="B42" s="321"/>
      <c r="C42" s="273"/>
      <c r="D42" s="273"/>
      <c r="E42" s="316"/>
      <c r="F42" s="316"/>
      <c r="G42" s="299"/>
    </row>
    <row r="43" spans="1:7" x14ac:dyDescent="0.2">
      <c r="A43" s="300" t="s">
        <v>372</v>
      </c>
      <c r="B43" s="301" t="s">
        <v>373</v>
      </c>
      <c r="C43" s="302"/>
      <c r="D43" s="302"/>
      <c r="E43" s="303"/>
      <c r="F43" s="304"/>
      <c r="G43" s="305">
        <f>SUM(F44:F47)</f>
        <v>0</v>
      </c>
    </row>
    <row r="44" spans="1:7" x14ac:dyDescent="0.2">
      <c r="A44" s="288"/>
      <c r="B44" s="276"/>
      <c r="C44" s="289"/>
      <c r="D44" s="289"/>
      <c r="E44" s="290"/>
      <c r="F44" s="290">
        <f>D44*E44</f>
        <v>0</v>
      </c>
      <c r="G44" s="291"/>
    </row>
    <row r="45" spans="1:7" x14ac:dyDescent="0.2">
      <c r="A45" s="288"/>
      <c r="B45" s="276"/>
      <c r="C45" s="289"/>
      <c r="D45" s="289"/>
      <c r="E45" s="290"/>
      <c r="F45" s="290">
        <f>D45*E45</f>
        <v>0</v>
      </c>
      <c r="G45" s="292"/>
    </row>
    <row r="46" spans="1:7" x14ac:dyDescent="0.2">
      <c r="A46" s="288"/>
      <c r="B46" s="322"/>
      <c r="C46" s="289"/>
      <c r="D46" s="289"/>
      <c r="E46" s="290"/>
      <c r="F46" s="290">
        <f>D46*E46</f>
        <v>0</v>
      </c>
      <c r="G46" s="292"/>
    </row>
    <row r="47" spans="1:7" ht="13.5" thickBot="1" x14ac:dyDescent="0.25">
      <c r="A47" s="323"/>
      <c r="B47" s="324"/>
      <c r="C47" s="325"/>
      <c r="D47" s="325"/>
      <c r="E47" s="326"/>
      <c r="F47" s="326"/>
      <c r="G47" s="327"/>
    </row>
    <row r="48" spans="1:7" ht="6" customHeight="1" thickBot="1" x14ac:dyDescent="0.25">
      <c r="A48" s="267"/>
      <c r="B48" s="268"/>
      <c r="C48" s="267"/>
      <c r="D48" s="267"/>
      <c r="E48" s="328"/>
      <c r="F48" s="328"/>
      <c r="G48" s="268"/>
    </row>
    <row r="49" spans="1:7" x14ac:dyDescent="0.2">
      <c r="A49" s="329" t="s">
        <v>374</v>
      </c>
      <c r="B49" s="330" t="s">
        <v>375</v>
      </c>
      <c r="C49" s="331"/>
      <c r="D49" s="331"/>
      <c r="E49" s="332"/>
      <c r="F49" s="332"/>
      <c r="G49" s="333">
        <f>G15+G23+G31+G35+G43</f>
        <v>0</v>
      </c>
    </row>
    <row r="50" spans="1:7" ht="15" x14ac:dyDescent="0.25">
      <c r="A50" s="334" t="s">
        <v>376</v>
      </c>
      <c r="B50" s="335" t="s">
        <v>377</v>
      </c>
      <c r="C50" s="336"/>
      <c r="D50" s="336"/>
      <c r="E50" s="337"/>
      <c r="F50" s="337"/>
      <c r="G50" s="338">
        <f>G49*25%</f>
        <v>0</v>
      </c>
    </row>
    <row r="51" spans="1:7" x14ac:dyDescent="0.2">
      <c r="A51" s="339" t="s">
        <v>378</v>
      </c>
      <c r="B51" s="340" t="s">
        <v>379</v>
      </c>
      <c r="C51" s="341"/>
      <c r="D51" s="341"/>
      <c r="E51" s="342"/>
      <c r="F51" s="342"/>
      <c r="G51" s="343">
        <f>G49+G50</f>
        <v>0</v>
      </c>
    </row>
    <row r="52" spans="1:7" ht="15" x14ac:dyDescent="0.25">
      <c r="A52" s="334" t="s">
        <v>380</v>
      </c>
      <c r="B52" s="344" t="s">
        <v>381</v>
      </c>
      <c r="C52" s="336"/>
      <c r="D52" s="336"/>
      <c r="E52" s="337"/>
      <c r="F52" s="337"/>
      <c r="G52" s="338">
        <f>G51*14%</f>
        <v>0</v>
      </c>
    </row>
    <row r="53" spans="1:7" ht="15" x14ac:dyDescent="0.25">
      <c r="A53" s="334" t="s">
        <v>382</v>
      </c>
      <c r="B53" s="335" t="s">
        <v>383</v>
      </c>
      <c r="C53" s="336"/>
      <c r="D53" s="336"/>
      <c r="E53" s="337"/>
      <c r="F53" s="337"/>
      <c r="G53" s="338">
        <f>G51*2.4%</f>
        <v>0</v>
      </c>
    </row>
    <row r="54" spans="1:7" ht="13.5" thickBot="1" x14ac:dyDescent="0.25">
      <c r="A54" s="345" t="s">
        <v>384</v>
      </c>
      <c r="B54" s="346" t="s">
        <v>385</v>
      </c>
      <c r="C54" s="346"/>
      <c r="D54" s="346"/>
      <c r="E54" s="346"/>
      <c r="F54" s="346"/>
      <c r="G54" s="347">
        <f>SUM(G51:G53)</f>
        <v>0</v>
      </c>
    </row>
    <row r="55" spans="1:7" x14ac:dyDescent="0.2">
      <c r="A55" s="273"/>
      <c r="B55" s="274"/>
      <c r="C55" s="273"/>
      <c r="D55" s="273"/>
      <c r="E55" s="316"/>
      <c r="F55" s="316"/>
      <c r="G55" s="274"/>
    </row>
    <row r="56" spans="1:7" x14ac:dyDescent="0.2">
      <c r="A56" s="273"/>
      <c r="B56" s="274"/>
      <c r="C56" s="273"/>
      <c r="D56" s="274"/>
      <c r="E56" s="272"/>
      <c r="F56" s="316"/>
      <c r="G56" s="274"/>
    </row>
    <row r="57" spans="1:7" x14ac:dyDescent="0.2">
      <c r="F57" s="261"/>
      <c r="G57" s="348"/>
    </row>
    <row r="61" spans="1:7" x14ac:dyDescent="0.2">
      <c r="G61" s="349"/>
    </row>
  </sheetData>
  <mergeCells count="4">
    <mergeCell ref="A1:G1"/>
    <mergeCell ref="B5:G5"/>
    <mergeCell ref="E10:F10"/>
    <mergeCell ref="B3:F3"/>
  </mergeCells>
  <pageMargins left="0.63" right="0.25" top="0.46" bottom="0.41" header="0.31496062992125984" footer="0.31496062992125984"/>
  <pageSetup paperSize="9" scale="8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E61"/>
  <sheetViews>
    <sheetView showGridLines="0" view="pageBreakPreview" topLeftCell="A40" zoomScale="60" zoomScaleNormal="55" workbookViewId="0">
      <selection activeCell="A4" sqref="A4"/>
    </sheetView>
  </sheetViews>
  <sheetFormatPr baseColWidth="10" defaultRowHeight="15" x14ac:dyDescent="0.25"/>
  <cols>
    <col min="1" max="1" width="12.85546875" customWidth="1"/>
    <col min="2" max="2" width="22.28515625" customWidth="1"/>
    <col min="3" max="3" width="54.42578125" customWidth="1"/>
    <col min="4" max="4" width="9.7109375" customWidth="1"/>
    <col min="5" max="5" width="14" customWidth="1"/>
    <col min="241" max="241" width="3.5703125" customWidth="1"/>
    <col min="242" max="242" width="13.140625" customWidth="1"/>
    <col min="243" max="243" width="24.42578125" bestFit="1" customWidth="1"/>
    <col min="244" max="244" width="10.140625" customWidth="1"/>
    <col min="245" max="246" width="9.85546875" customWidth="1"/>
    <col min="247" max="247" width="8.85546875" customWidth="1"/>
    <col min="248" max="248" width="10.85546875" customWidth="1"/>
    <col min="249" max="249" width="13.140625" customWidth="1"/>
    <col min="250" max="250" width="14" customWidth="1"/>
    <col min="251" max="251" width="9.5703125" customWidth="1"/>
    <col min="252" max="252" width="9.42578125" customWidth="1"/>
    <col min="254" max="254" width="10.5703125" customWidth="1"/>
    <col min="256" max="256" width="13.42578125" customWidth="1"/>
    <col min="257" max="257" width="9.85546875" customWidth="1"/>
    <col min="258" max="258" width="8.42578125" customWidth="1"/>
    <col min="259" max="259" width="5.85546875" customWidth="1"/>
    <col min="497" max="497" width="3.5703125" customWidth="1"/>
    <col min="498" max="498" width="13.140625" customWidth="1"/>
    <col min="499" max="499" width="24.42578125" bestFit="1" customWidth="1"/>
    <col min="500" max="500" width="10.140625" customWidth="1"/>
    <col min="501" max="502" width="9.85546875" customWidth="1"/>
    <col min="503" max="503" width="8.85546875" customWidth="1"/>
    <col min="504" max="504" width="10.85546875" customWidth="1"/>
    <col min="505" max="505" width="13.140625" customWidth="1"/>
    <col min="506" max="506" width="14" customWidth="1"/>
    <col min="507" max="507" width="9.5703125" customWidth="1"/>
    <col min="508" max="508" width="9.42578125" customWidth="1"/>
    <col min="510" max="510" width="10.5703125" customWidth="1"/>
    <col min="512" max="512" width="13.42578125" customWidth="1"/>
    <col min="513" max="513" width="9.85546875" customWidth="1"/>
    <col min="514" max="514" width="8.42578125" customWidth="1"/>
    <col min="515" max="515" width="5.85546875" customWidth="1"/>
    <col min="753" max="753" width="3.5703125" customWidth="1"/>
    <col min="754" max="754" width="13.140625" customWidth="1"/>
    <col min="755" max="755" width="24.42578125" bestFit="1" customWidth="1"/>
    <col min="756" max="756" width="10.140625" customWidth="1"/>
    <col min="757" max="758" width="9.85546875" customWidth="1"/>
    <col min="759" max="759" width="8.85546875" customWidth="1"/>
    <col min="760" max="760" width="10.85546875" customWidth="1"/>
    <col min="761" max="761" width="13.140625" customWidth="1"/>
    <col min="762" max="762" width="14" customWidth="1"/>
    <col min="763" max="763" width="9.5703125" customWidth="1"/>
    <col min="764" max="764" width="9.42578125" customWidth="1"/>
    <col min="766" max="766" width="10.5703125" customWidth="1"/>
    <col min="768" max="768" width="13.42578125" customWidth="1"/>
    <col min="769" max="769" width="9.85546875" customWidth="1"/>
    <col min="770" max="770" width="8.42578125" customWidth="1"/>
    <col min="771" max="771" width="5.85546875" customWidth="1"/>
    <col min="1009" max="1009" width="3.5703125" customWidth="1"/>
    <col min="1010" max="1010" width="13.140625" customWidth="1"/>
    <col min="1011" max="1011" width="24.42578125" bestFit="1" customWidth="1"/>
    <col min="1012" max="1012" width="10.140625" customWidth="1"/>
    <col min="1013" max="1014" width="9.85546875" customWidth="1"/>
    <col min="1015" max="1015" width="8.85546875" customWidth="1"/>
    <col min="1016" max="1016" width="10.85546875" customWidth="1"/>
    <col min="1017" max="1017" width="13.140625" customWidth="1"/>
    <col min="1018" max="1018" width="14" customWidth="1"/>
    <col min="1019" max="1019" width="9.5703125" customWidth="1"/>
    <col min="1020" max="1020" width="9.42578125" customWidth="1"/>
    <col min="1022" max="1022" width="10.5703125" customWidth="1"/>
    <col min="1024" max="1024" width="13.42578125" customWidth="1"/>
    <col min="1025" max="1025" width="9.85546875" customWidth="1"/>
    <col min="1026" max="1026" width="8.42578125" customWidth="1"/>
    <col min="1027" max="1027" width="5.85546875" customWidth="1"/>
    <col min="1265" max="1265" width="3.5703125" customWidth="1"/>
    <col min="1266" max="1266" width="13.140625" customWidth="1"/>
    <col min="1267" max="1267" width="24.42578125" bestFit="1" customWidth="1"/>
    <col min="1268" max="1268" width="10.140625" customWidth="1"/>
    <col min="1269" max="1270" width="9.85546875" customWidth="1"/>
    <col min="1271" max="1271" width="8.85546875" customWidth="1"/>
    <col min="1272" max="1272" width="10.85546875" customWidth="1"/>
    <col min="1273" max="1273" width="13.140625" customWidth="1"/>
    <col min="1274" max="1274" width="14" customWidth="1"/>
    <col min="1275" max="1275" width="9.5703125" customWidth="1"/>
    <col min="1276" max="1276" width="9.42578125" customWidth="1"/>
    <col min="1278" max="1278" width="10.5703125" customWidth="1"/>
    <col min="1280" max="1280" width="13.42578125" customWidth="1"/>
    <col min="1281" max="1281" width="9.85546875" customWidth="1"/>
    <col min="1282" max="1282" width="8.42578125" customWidth="1"/>
    <col min="1283" max="1283" width="5.85546875" customWidth="1"/>
    <col min="1521" max="1521" width="3.5703125" customWidth="1"/>
    <col min="1522" max="1522" width="13.140625" customWidth="1"/>
    <col min="1523" max="1523" width="24.42578125" bestFit="1" customWidth="1"/>
    <col min="1524" max="1524" width="10.140625" customWidth="1"/>
    <col min="1525" max="1526" width="9.85546875" customWidth="1"/>
    <col min="1527" max="1527" width="8.85546875" customWidth="1"/>
    <col min="1528" max="1528" width="10.85546875" customWidth="1"/>
    <col min="1529" max="1529" width="13.140625" customWidth="1"/>
    <col min="1530" max="1530" width="14" customWidth="1"/>
    <col min="1531" max="1531" width="9.5703125" customWidth="1"/>
    <col min="1532" max="1532" width="9.42578125" customWidth="1"/>
    <col min="1534" max="1534" width="10.5703125" customWidth="1"/>
    <col min="1536" max="1536" width="13.42578125" customWidth="1"/>
    <col min="1537" max="1537" width="9.85546875" customWidth="1"/>
    <col min="1538" max="1538" width="8.42578125" customWidth="1"/>
    <col min="1539" max="1539" width="5.85546875" customWidth="1"/>
    <col min="1777" max="1777" width="3.5703125" customWidth="1"/>
    <col min="1778" max="1778" width="13.140625" customWidth="1"/>
    <col min="1779" max="1779" width="24.42578125" bestFit="1" customWidth="1"/>
    <col min="1780" max="1780" width="10.140625" customWidth="1"/>
    <col min="1781" max="1782" width="9.85546875" customWidth="1"/>
    <col min="1783" max="1783" width="8.85546875" customWidth="1"/>
    <col min="1784" max="1784" width="10.85546875" customWidth="1"/>
    <col min="1785" max="1785" width="13.140625" customWidth="1"/>
    <col min="1786" max="1786" width="14" customWidth="1"/>
    <col min="1787" max="1787" width="9.5703125" customWidth="1"/>
    <col min="1788" max="1788" width="9.42578125" customWidth="1"/>
    <col min="1790" max="1790" width="10.5703125" customWidth="1"/>
    <col min="1792" max="1792" width="13.42578125" customWidth="1"/>
    <col min="1793" max="1793" width="9.85546875" customWidth="1"/>
    <col min="1794" max="1794" width="8.42578125" customWidth="1"/>
    <col min="1795" max="1795" width="5.85546875" customWidth="1"/>
    <col min="2033" max="2033" width="3.5703125" customWidth="1"/>
    <col min="2034" max="2034" width="13.140625" customWidth="1"/>
    <col min="2035" max="2035" width="24.42578125" bestFit="1" customWidth="1"/>
    <col min="2036" max="2036" width="10.140625" customWidth="1"/>
    <col min="2037" max="2038" width="9.85546875" customWidth="1"/>
    <col min="2039" max="2039" width="8.85546875" customWidth="1"/>
    <col min="2040" max="2040" width="10.85546875" customWidth="1"/>
    <col min="2041" max="2041" width="13.140625" customWidth="1"/>
    <col min="2042" max="2042" width="14" customWidth="1"/>
    <col min="2043" max="2043" width="9.5703125" customWidth="1"/>
    <col min="2044" max="2044" width="9.42578125" customWidth="1"/>
    <col min="2046" max="2046" width="10.5703125" customWidth="1"/>
    <col min="2048" max="2048" width="13.42578125" customWidth="1"/>
    <col min="2049" max="2049" width="9.85546875" customWidth="1"/>
    <col min="2050" max="2050" width="8.42578125" customWidth="1"/>
    <col min="2051" max="2051" width="5.85546875" customWidth="1"/>
    <col min="2289" max="2289" width="3.5703125" customWidth="1"/>
    <col min="2290" max="2290" width="13.140625" customWidth="1"/>
    <col min="2291" max="2291" width="24.42578125" bestFit="1" customWidth="1"/>
    <col min="2292" max="2292" width="10.140625" customWidth="1"/>
    <col min="2293" max="2294" width="9.85546875" customWidth="1"/>
    <col min="2295" max="2295" width="8.85546875" customWidth="1"/>
    <col min="2296" max="2296" width="10.85546875" customWidth="1"/>
    <col min="2297" max="2297" width="13.140625" customWidth="1"/>
    <col min="2298" max="2298" width="14" customWidth="1"/>
    <col min="2299" max="2299" width="9.5703125" customWidth="1"/>
    <col min="2300" max="2300" width="9.42578125" customWidth="1"/>
    <col min="2302" max="2302" width="10.5703125" customWidth="1"/>
    <col min="2304" max="2304" width="13.42578125" customWidth="1"/>
    <col min="2305" max="2305" width="9.85546875" customWidth="1"/>
    <col min="2306" max="2306" width="8.42578125" customWidth="1"/>
    <col min="2307" max="2307" width="5.85546875" customWidth="1"/>
    <col min="2545" max="2545" width="3.5703125" customWidth="1"/>
    <col min="2546" max="2546" width="13.140625" customWidth="1"/>
    <col min="2547" max="2547" width="24.42578125" bestFit="1" customWidth="1"/>
    <col min="2548" max="2548" width="10.140625" customWidth="1"/>
    <col min="2549" max="2550" width="9.85546875" customWidth="1"/>
    <col min="2551" max="2551" width="8.85546875" customWidth="1"/>
    <col min="2552" max="2552" width="10.85546875" customWidth="1"/>
    <col min="2553" max="2553" width="13.140625" customWidth="1"/>
    <col min="2554" max="2554" width="14" customWidth="1"/>
    <col min="2555" max="2555" width="9.5703125" customWidth="1"/>
    <col min="2556" max="2556" width="9.42578125" customWidth="1"/>
    <col min="2558" max="2558" width="10.5703125" customWidth="1"/>
    <col min="2560" max="2560" width="13.42578125" customWidth="1"/>
    <col min="2561" max="2561" width="9.85546875" customWidth="1"/>
    <col min="2562" max="2562" width="8.42578125" customWidth="1"/>
    <col min="2563" max="2563" width="5.85546875" customWidth="1"/>
    <col min="2801" max="2801" width="3.5703125" customWidth="1"/>
    <col min="2802" max="2802" width="13.140625" customWidth="1"/>
    <col min="2803" max="2803" width="24.42578125" bestFit="1" customWidth="1"/>
    <col min="2804" max="2804" width="10.140625" customWidth="1"/>
    <col min="2805" max="2806" width="9.85546875" customWidth="1"/>
    <col min="2807" max="2807" width="8.85546875" customWidth="1"/>
    <col min="2808" max="2808" width="10.85546875" customWidth="1"/>
    <col min="2809" max="2809" width="13.140625" customWidth="1"/>
    <col min="2810" max="2810" width="14" customWidth="1"/>
    <col min="2811" max="2811" width="9.5703125" customWidth="1"/>
    <col min="2812" max="2812" width="9.42578125" customWidth="1"/>
    <col min="2814" max="2814" width="10.5703125" customWidth="1"/>
    <col min="2816" max="2816" width="13.42578125" customWidth="1"/>
    <col min="2817" max="2817" width="9.85546875" customWidth="1"/>
    <col min="2818" max="2818" width="8.42578125" customWidth="1"/>
    <col min="2819" max="2819" width="5.85546875" customWidth="1"/>
    <col min="3057" max="3057" width="3.5703125" customWidth="1"/>
    <col min="3058" max="3058" width="13.140625" customWidth="1"/>
    <col min="3059" max="3059" width="24.42578125" bestFit="1" customWidth="1"/>
    <col min="3060" max="3060" width="10.140625" customWidth="1"/>
    <col min="3061" max="3062" width="9.85546875" customWidth="1"/>
    <col min="3063" max="3063" width="8.85546875" customWidth="1"/>
    <col min="3064" max="3064" width="10.85546875" customWidth="1"/>
    <col min="3065" max="3065" width="13.140625" customWidth="1"/>
    <col min="3066" max="3066" width="14" customWidth="1"/>
    <col min="3067" max="3067" width="9.5703125" customWidth="1"/>
    <col min="3068" max="3068" width="9.42578125" customWidth="1"/>
    <col min="3070" max="3070" width="10.5703125" customWidth="1"/>
    <col min="3072" max="3072" width="13.42578125" customWidth="1"/>
    <col min="3073" max="3073" width="9.85546875" customWidth="1"/>
    <col min="3074" max="3074" width="8.42578125" customWidth="1"/>
    <col min="3075" max="3075" width="5.85546875" customWidth="1"/>
    <col min="3313" max="3313" width="3.5703125" customWidth="1"/>
    <col min="3314" max="3314" width="13.140625" customWidth="1"/>
    <col min="3315" max="3315" width="24.42578125" bestFit="1" customWidth="1"/>
    <col min="3316" max="3316" width="10.140625" customWidth="1"/>
    <col min="3317" max="3318" width="9.85546875" customWidth="1"/>
    <col min="3319" max="3319" width="8.85546875" customWidth="1"/>
    <col min="3320" max="3320" width="10.85546875" customWidth="1"/>
    <col min="3321" max="3321" width="13.140625" customWidth="1"/>
    <col min="3322" max="3322" width="14" customWidth="1"/>
    <col min="3323" max="3323" width="9.5703125" customWidth="1"/>
    <col min="3324" max="3324" width="9.42578125" customWidth="1"/>
    <col min="3326" max="3326" width="10.5703125" customWidth="1"/>
    <col min="3328" max="3328" width="13.42578125" customWidth="1"/>
    <col min="3329" max="3329" width="9.85546875" customWidth="1"/>
    <col min="3330" max="3330" width="8.42578125" customWidth="1"/>
    <col min="3331" max="3331" width="5.85546875" customWidth="1"/>
    <col min="3569" max="3569" width="3.5703125" customWidth="1"/>
    <col min="3570" max="3570" width="13.140625" customWidth="1"/>
    <col min="3571" max="3571" width="24.42578125" bestFit="1" customWidth="1"/>
    <col min="3572" max="3572" width="10.140625" customWidth="1"/>
    <col min="3573" max="3574" width="9.85546875" customWidth="1"/>
    <col min="3575" max="3575" width="8.85546875" customWidth="1"/>
    <col min="3576" max="3576" width="10.85546875" customWidth="1"/>
    <col min="3577" max="3577" width="13.140625" customWidth="1"/>
    <col min="3578" max="3578" width="14" customWidth="1"/>
    <col min="3579" max="3579" width="9.5703125" customWidth="1"/>
    <col min="3580" max="3580" width="9.42578125" customWidth="1"/>
    <col min="3582" max="3582" width="10.5703125" customWidth="1"/>
    <col min="3584" max="3584" width="13.42578125" customWidth="1"/>
    <col min="3585" max="3585" width="9.85546875" customWidth="1"/>
    <col min="3586" max="3586" width="8.42578125" customWidth="1"/>
    <col min="3587" max="3587" width="5.85546875" customWidth="1"/>
    <col min="3825" max="3825" width="3.5703125" customWidth="1"/>
    <col min="3826" max="3826" width="13.140625" customWidth="1"/>
    <col min="3827" max="3827" width="24.42578125" bestFit="1" customWidth="1"/>
    <col min="3828" max="3828" width="10.140625" customWidth="1"/>
    <col min="3829" max="3830" width="9.85546875" customWidth="1"/>
    <col min="3831" max="3831" width="8.85546875" customWidth="1"/>
    <col min="3832" max="3832" width="10.85546875" customWidth="1"/>
    <col min="3833" max="3833" width="13.140625" customWidth="1"/>
    <col min="3834" max="3834" width="14" customWidth="1"/>
    <col min="3835" max="3835" width="9.5703125" customWidth="1"/>
    <col min="3836" max="3836" width="9.42578125" customWidth="1"/>
    <col min="3838" max="3838" width="10.5703125" customWidth="1"/>
    <col min="3840" max="3840" width="13.42578125" customWidth="1"/>
    <col min="3841" max="3841" width="9.85546875" customWidth="1"/>
    <col min="3842" max="3842" width="8.42578125" customWidth="1"/>
    <col min="3843" max="3843" width="5.85546875" customWidth="1"/>
    <col min="4081" max="4081" width="3.5703125" customWidth="1"/>
    <col min="4082" max="4082" width="13.140625" customWidth="1"/>
    <col min="4083" max="4083" width="24.42578125" bestFit="1" customWidth="1"/>
    <col min="4084" max="4084" width="10.140625" customWidth="1"/>
    <col min="4085" max="4086" width="9.85546875" customWidth="1"/>
    <col min="4087" max="4087" width="8.85546875" customWidth="1"/>
    <col min="4088" max="4088" width="10.85546875" customWidth="1"/>
    <col min="4089" max="4089" width="13.140625" customWidth="1"/>
    <col min="4090" max="4090" width="14" customWidth="1"/>
    <col min="4091" max="4091" width="9.5703125" customWidth="1"/>
    <col min="4092" max="4092" width="9.42578125" customWidth="1"/>
    <col min="4094" max="4094" width="10.5703125" customWidth="1"/>
    <col min="4096" max="4096" width="13.42578125" customWidth="1"/>
    <col min="4097" max="4097" width="9.85546875" customWidth="1"/>
    <col min="4098" max="4098" width="8.42578125" customWidth="1"/>
    <col min="4099" max="4099" width="5.85546875" customWidth="1"/>
    <col min="4337" max="4337" width="3.5703125" customWidth="1"/>
    <col min="4338" max="4338" width="13.140625" customWidth="1"/>
    <col min="4339" max="4339" width="24.42578125" bestFit="1" customWidth="1"/>
    <col min="4340" max="4340" width="10.140625" customWidth="1"/>
    <col min="4341" max="4342" width="9.85546875" customWidth="1"/>
    <col min="4343" max="4343" width="8.85546875" customWidth="1"/>
    <col min="4344" max="4344" width="10.85546875" customWidth="1"/>
    <col min="4345" max="4345" width="13.140625" customWidth="1"/>
    <col min="4346" max="4346" width="14" customWidth="1"/>
    <col min="4347" max="4347" width="9.5703125" customWidth="1"/>
    <col min="4348" max="4348" width="9.42578125" customWidth="1"/>
    <col min="4350" max="4350" width="10.5703125" customWidth="1"/>
    <col min="4352" max="4352" width="13.42578125" customWidth="1"/>
    <col min="4353" max="4353" width="9.85546875" customWidth="1"/>
    <col min="4354" max="4354" width="8.42578125" customWidth="1"/>
    <col min="4355" max="4355" width="5.85546875" customWidth="1"/>
    <col min="4593" max="4593" width="3.5703125" customWidth="1"/>
    <col min="4594" max="4594" width="13.140625" customWidth="1"/>
    <col min="4595" max="4595" width="24.42578125" bestFit="1" customWidth="1"/>
    <col min="4596" max="4596" width="10.140625" customWidth="1"/>
    <col min="4597" max="4598" width="9.85546875" customWidth="1"/>
    <col min="4599" max="4599" width="8.85546875" customWidth="1"/>
    <col min="4600" max="4600" width="10.85546875" customWidth="1"/>
    <col min="4601" max="4601" width="13.140625" customWidth="1"/>
    <col min="4602" max="4602" width="14" customWidth="1"/>
    <col min="4603" max="4603" width="9.5703125" customWidth="1"/>
    <col min="4604" max="4604" width="9.42578125" customWidth="1"/>
    <col min="4606" max="4606" width="10.5703125" customWidth="1"/>
    <col min="4608" max="4608" width="13.42578125" customWidth="1"/>
    <col min="4609" max="4609" width="9.85546875" customWidth="1"/>
    <col min="4610" max="4610" width="8.42578125" customWidth="1"/>
    <col min="4611" max="4611" width="5.85546875" customWidth="1"/>
    <col min="4849" max="4849" width="3.5703125" customWidth="1"/>
    <col min="4850" max="4850" width="13.140625" customWidth="1"/>
    <col min="4851" max="4851" width="24.42578125" bestFit="1" customWidth="1"/>
    <col min="4852" max="4852" width="10.140625" customWidth="1"/>
    <col min="4853" max="4854" width="9.85546875" customWidth="1"/>
    <col min="4855" max="4855" width="8.85546875" customWidth="1"/>
    <col min="4856" max="4856" width="10.85546875" customWidth="1"/>
    <col min="4857" max="4857" width="13.140625" customWidth="1"/>
    <col min="4858" max="4858" width="14" customWidth="1"/>
    <col min="4859" max="4859" width="9.5703125" customWidth="1"/>
    <col min="4860" max="4860" width="9.42578125" customWidth="1"/>
    <col min="4862" max="4862" width="10.5703125" customWidth="1"/>
    <col min="4864" max="4864" width="13.42578125" customWidth="1"/>
    <col min="4865" max="4865" width="9.85546875" customWidth="1"/>
    <col min="4866" max="4866" width="8.42578125" customWidth="1"/>
    <col min="4867" max="4867" width="5.85546875" customWidth="1"/>
    <col min="5105" max="5105" width="3.5703125" customWidth="1"/>
    <col min="5106" max="5106" width="13.140625" customWidth="1"/>
    <col min="5107" max="5107" width="24.42578125" bestFit="1" customWidth="1"/>
    <col min="5108" max="5108" width="10.140625" customWidth="1"/>
    <col min="5109" max="5110" width="9.85546875" customWidth="1"/>
    <col min="5111" max="5111" width="8.85546875" customWidth="1"/>
    <col min="5112" max="5112" width="10.85546875" customWidth="1"/>
    <col min="5113" max="5113" width="13.140625" customWidth="1"/>
    <col min="5114" max="5114" width="14" customWidth="1"/>
    <col min="5115" max="5115" width="9.5703125" customWidth="1"/>
    <col min="5116" max="5116" width="9.42578125" customWidth="1"/>
    <col min="5118" max="5118" width="10.5703125" customWidth="1"/>
    <col min="5120" max="5120" width="13.42578125" customWidth="1"/>
    <col min="5121" max="5121" width="9.85546875" customWidth="1"/>
    <col min="5122" max="5122" width="8.42578125" customWidth="1"/>
    <col min="5123" max="5123" width="5.85546875" customWidth="1"/>
    <col min="5361" max="5361" width="3.5703125" customWidth="1"/>
    <col min="5362" max="5362" width="13.140625" customWidth="1"/>
    <col min="5363" max="5363" width="24.42578125" bestFit="1" customWidth="1"/>
    <col min="5364" max="5364" width="10.140625" customWidth="1"/>
    <col min="5365" max="5366" width="9.85546875" customWidth="1"/>
    <col min="5367" max="5367" width="8.85546875" customWidth="1"/>
    <col min="5368" max="5368" width="10.85546875" customWidth="1"/>
    <col min="5369" max="5369" width="13.140625" customWidth="1"/>
    <col min="5370" max="5370" width="14" customWidth="1"/>
    <col min="5371" max="5371" width="9.5703125" customWidth="1"/>
    <col min="5372" max="5372" width="9.42578125" customWidth="1"/>
    <col min="5374" max="5374" width="10.5703125" customWidth="1"/>
    <col min="5376" max="5376" width="13.42578125" customWidth="1"/>
    <col min="5377" max="5377" width="9.85546875" customWidth="1"/>
    <col min="5378" max="5378" width="8.42578125" customWidth="1"/>
    <col min="5379" max="5379" width="5.85546875" customWidth="1"/>
    <col min="5617" max="5617" width="3.5703125" customWidth="1"/>
    <col min="5618" max="5618" width="13.140625" customWidth="1"/>
    <col min="5619" max="5619" width="24.42578125" bestFit="1" customWidth="1"/>
    <col min="5620" max="5620" width="10.140625" customWidth="1"/>
    <col min="5621" max="5622" width="9.85546875" customWidth="1"/>
    <col min="5623" max="5623" width="8.85546875" customWidth="1"/>
    <col min="5624" max="5624" width="10.85546875" customWidth="1"/>
    <col min="5625" max="5625" width="13.140625" customWidth="1"/>
    <col min="5626" max="5626" width="14" customWidth="1"/>
    <col min="5627" max="5627" width="9.5703125" customWidth="1"/>
    <col min="5628" max="5628" width="9.42578125" customWidth="1"/>
    <col min="5630" max="5630" width="10.5703125" customWidth="1"/>
    <col min="5632" max="5632" width="13.42578125" customWidth="1"/>
    <col min="5633" max="5633" width="9.85546875" customWidth="1"/>
    <col min="5634" max="5634" width="8.42578125" customWidth="1"/>
    <col min="5635" max="5635" width="5.85546875" customWidth="1"/>
    <col min="5873" max="5873" width="3.5703125" customWidth="1"/>
    <col min="5874" max="5874" width="13.140625" customWidth="1"/>
    <col min="5875" max="5875" width="24.42578125" bestFit="1" customWidth="1"/>
    <col min="5876" max="5876" width="10.140625" customWidth="1"/>
    <col min="5877" max="5878" width="9.85546875" customWidth="1"/>
    <col min="5879" max="5879" width="8.85546875" customWidth="1"/>
    <col min="5880" max="5880" width="10.85546875" customWidth="1"/>
    <col min="5881" max="5881" width="13.140625" customWidth="1"/>
    <col min="5882" max="5882" width="14" customWidth="1"/>
    <col min="5883" max="5883" width="9.5703125" customWidth="1"/>
    <col min="5884" max="5884" width="9.42578125" customWidth="1"/>
    <col min="5886" max="5886" width="10.5703125" customWidth="1"/>
    <col min="5888" max="5888" width="13.42578125" customWidth="1"/>
    <col min="5889" max="5889" width="9.85546875" customWidth="1"/>
    <col min="5890" max="5890" width="8.42578125" customWidth="1"/>
    <col min="5891" max="5891" width="5.85546875" customWidth="1"/>
    <col min="6129" max="6129" width="3.5703125" customWidth="1"/>
    <col min="6130" max="6130" width="13.140625" customWidth="1"/>
    <col min="6131" max="6131" width="24.42578125" bestFit="1" customWidth="1"/>
    <col min="6132" max="6132" width="10.140625" customWidth="1"/>
    <col min="6133" max="6134" width="9.85546875" customWidth="1"/>
    <col min="6135" max="6135" width="8.85546875" customWidth="1"/>
    <col min="6136" max="6136" width="10.85546875" customWidth="1"/>
    <col min="6137" max="6137" width="13.140625" customWidth="1"/>
    <col min="6138" max="6138" width="14" customWidth="1"/>
    <col min="6139" max="6139" width="9.5703125" customWidth="1"/>
    <col min="6140" max="6140" width="9.42578125" customWidth="1"/>
    <col min="6142" max="6142" width="10.5703125" customWidth="1"/>
    <col min="6144" max="6144" width="13.42578125" customWidth="1"/>
    <col min="6145" max="6145" width="9.85546875" customWidth="1"/>
    <col min="6146" max="6146" width="8.42578125" customWidth="1"/>
    <col min="6147" max="6147" width="5.85546875" customWidth="1"/>
    <col min="6385" max="6385" width="3.5703125" customWidth="1"/>
    <col min="6386" max="6386" width="13.140625" customWidth="1"/>
    <col min="6387" max="6387" width="24.42578125" bestFit="1" customWidth="1"/>
    <col min="6388" max="6388" width="10.140625" customWidth="1"/>
    <col min="6389" max="6390" width="9.85546875" customWidth="1"/>
    <col min="6391" max="6391" width="8.85546875" customWidth="1"/>
    <col min="6392" max="6392" width="10.85546875" customWidth="1"/>
    <col min="6393" max="6393" width="13.140625" customWidth="1"/>
    <col min="6394" max="6394" width="14" customWidth="1"/>
    <col min="6395" max="6395" width="9.5703125" customWidth="1"/>
    <col min="6396" max="6396" width="9.42578125" customWidth="1"/>
    <col min="6398" max="6398" width="10.5703125" customWidth="1"/>
    <col min="6400" max="6400" width="13.42578125" customWidth="1"/>
    <col min="6401" max="6401" width="9.85546875" customWidth="1"/>
    <col min="6402" max="6402" width="8.42578125" customWidth="1"/>
    <col min="6403" max="6403" width="5.85546875" customWidth="1"/>
    <col min="6641" max="6641" width="3.5703125" customWidth="1"/>
    <col min="6642" max="6642" width="13.140625" customWidth="1"/>
    <col min="6643" max="6643" width="24.42578125" bestFit="1" customWidth="1"/>
    <col min="6644" max="6644" width="10.140625" customWidth="1"/>
    <col min="6645" max="6646" width="9.85546875" customWidth="1"/>
    <col min="6647" max="6647" width="8.85546875" customWidth="1"/>
    <col min="6648" max="6648" width="10.85546875" customWidth="1"/>
    <col min="6649" max="6649" width="13.140625" customWidth="1"/>
    <col min="6650" max="6650" width="14" customWidth="1"/>
    <col min="6651" max="6651" width="9.5703125" customWidth="1"/>
    <col min="6652" max="6652" width="9.42578125" customWidth="1"/>
    <col min="6654" max="6654" width="10.5703125" customWidth="1"/>
    <col min="6656" max="6656" width="13.42578125" customWidth="1"/>
    <col min="6657" max="6657" width="9.85546875" customWidth="1"/>
    <col min="6658" max="6658" width="8.42578125" customWidth="1"/>
    <col min="6659" max="6659" width="5.85546875" customWidth="1"/>
    <col min="6897" max="6897" width="3.5703125" customWidth="1"/>
    <col min="6898" max="6898" width="13.140625" customWidth="1"/>
    <col min="6899" max="6899" width="24.42578125" bestFit="1" customWidth="1"/>
    <col min="6900" max="6900" width="10.140625" customWidth="1"/>
    <col min="6901" max="6902" width="9.85546875" customWidth="1"/>
    <col min="6903" max="6903" width="8.85546875" customWidth="1"/>
    <col min="6904" max="6904" width="10.85546875" customWidth="1"/>
    <col min="6905" max="6905" width="13.140625" customWidth="1"/>
    <col min="6906" max="6906" width="14" customWidth="1"/>
    <col min="6907" max="6907" width="9.5703125" customWidth="1"/>
    <col min="6908" max="6908" width="9.42578125" customWidth="1"/>
    <col min="6910" max="6910" width="10.5703125" customWidth="1"/>
    <col min="6912" max="6912" width="13.42578125" customWidth="1"/>
    <col min="6913" max="6913" width="9.85546875" customWidth="1"/>
    <col min="6914" max="6914" width="8.42578125" customWidth="1"/>
    <col min="6915" max="6915" width="5.85546875" customWidth="1"/>
    <col min="7153" max="7153" width="3.5703125" customWidth="1"/>
    <col min="7154" max="7154" width="13.140625" customWidth="1"/>
    <col min="7155" max="7155" width="24.42578125" bestFit="1" customWidth="1"/>
    <col min="7156" max="7156" width="10.140625" customWidth="1"/>
    <col min="7157" max="7158" width="9.85546875" customWidth="1"/>
    <col min="7159" max="7159" width="8.85546875" customWidth="1"/>
    <col min="7160" max="7160" width="10.85546875" customWidth="1"/>
    <col min="7161" max="7161" width="13.140625" customWidth="1"/>
    <col min="7162" max="7162" width="14" customWidth="1"/>
    <col min="7163" max="7163" width="9.5703125" customWidth="1"/>
    <col min="7164" max="7164" width="9.42578125" customWidth="1"/>
    <col min="7166" max="7166" width="10.5703125" customWidth="1"/>
    <col min="7168" max="7168" width="13.42578125" customWidth="1"/>
    <col min="7169" max="7169" width="9.85546875" customWidth="1"/>
    <col min="7170" max="7170" width="8.42578125" customWidth="1"/>
    <col min="7171" max="7171" width="5.85546875" customWidth="1"/>
    <col min="7409" max="7409" width="3.5703125" customWidth="1"/>
    <col min="7410" max="7410" width="13.140625" customWidth="1"/>
    <col min="7411" max="7411" width="24.42578125" bestFit="1" customWidth="1"/>
    <col min="7412" max="7412" width="10.140625" customWidth="1"/>
    <col min="7413" max="7414" width="9.85546875" customWidth="1"/>
    <col min="7415" max="7415" width="8.85546875" customWidth="1"/>
    <col min="7416" max="7416" width="10.85546875" customWidth="1"/>
    <col min="7417" max="7417" width="13.140625" customWidth="1"/>
    <col min="7418" max="7418" width="14" customWidth="1"/>
    <col min="7419" max="7419" width="9.5703125" customWidth="1"/>
    <col min="7420" max="7420" width="9.42578125" customWidth="1"/>
    <col min="7422" max="7422" width="10.5703125" customWidth="1"/>
    <col min="7424" max="7424" width="13.42578125" customWidth="1"/>
    <col min="7425" max="7425" width="9.85546875" customWidth="1"/>
    <col min="7426" max="7426" width="8.42578125" customWidth="1"/>
    <col min="7427" max="7427" width="5.85546875" customWidth="1"/>
    <col min="7665" max="7665" width="3.5703125" customWidth="1"/>
    <col min="7666" max="7666" width="13.140625" customWidth="1"/>
    <col min="7667" max="7667" width="24.42578125" bestFit="1" customWidth="1"/>
    <col min="7668" max="7668" width="10.140625" customWidth="1"/>
    <col min="7669" max="7670" width="9.85546875" customWidth="1"/>
    <col min="7671" max="7671" width="8.85546875" customWidth="1"/>
    <col min="7672" max="7672" width="10.85546875" customWidth="1"/>
    <col min="7673" max="7673" width="13.140625" customWidth="1"/>
    <col min="7674" max="7674" width="14" customWidth="1"/>
    <col min="7675" max="7675" width="9.5703125" customWidth="1"/>
    <col min="7676" max="7676" width="9.42578125" customWidth="1"/>
    <col min="7678" max="7678" width="10.5703125" customWidth="1"/>
    <col min="7680" max="7680" width="13.42578125" customWidth="1"/>
    <col min="7681" max="7681" width="9.85546875" customWidth="1"/>
    <col min="7682" max="7682" width="8.42578125" customWidth="1"/>
    <col min="7683" max="7683" width="5.85546875" customWidth="1"/>
    <col min="7921" max="7921" width="3.5703125" customWidth="1"/>
    <col min="7922" max="7922" width="13.140625" customWidth="1"/>
    <col min="7923" max="7923" width="24.42578125" bestFit="1" customWidth="1"/>
    <col min="7924" max="7924" width="10.140625" customWidth="1"/>
    <col min="7925" max="7926" width="9.85546875" customWidth="1"/>
    <col min="7927" max="7927" width="8.85546875" customWidth="1"/>
    <col min="7928" max="7928" width="10.85546875" customWidth="1"/>
    <col min="7929" max="7929" width="13.140625" customWidth="1"/>
    <col min="7930" max="7930" width="14" customWidth="1"/>
    <col min="7931" max="7931" width="9.5703125" customWidth="1"/>
    <col min="7932" max="7932" width="9.42578125" customWidth="1"/>
    <col min="7934" max="7934" width="10.5703125" customWidth="1"/>
    <col min="7936" max="7936" width="13.42578125" customWidth="1"/>
    <col min="7937" max="7937" width="9.85546875" customWidth="1"/>
    <col min="7938" max="7938" width="8.42578125" customWidth="1"/>
    <col min="7939" max="7939" width="5.85546875" customWidth="1"/>
    <col min="8177" max="8177" width="3.5703125" customWidth="1"/>
    <col min="8178" max="8178" width="13.140625" customWidth="1"/>
    <col min="8179" max="8179" width="24.42578125" bestFit="1" customWidth="1"/>
    <col min="8180" max="8180" width="10.140625" customWidth="1"/>
    <col min="8181" max="8182" width="9.85546875" customWidth="1"/>
    <col min="8183" max="8183" width="8.85546875" customWidth="1"/>
    <col min="8184" max="8184" width="10.85546875" customWidth="1"/>
    <col min="8185" max="8185" width="13.140625" customWidth="1"/>
    <col min="8186" max="8186" width="14" customWidth="1"/>
    <col min="8187" max="8187" width="9.5703125" customWidth="1"/>
    <col min="8188" max="8188" width="9.42578125" customWidth="1"/>
    <col min="8190" max="8190" width="10.5703125" customWidth="1"/>
    <col min="8192" max="8192" width="13.42578125" customWidth="1"/>
    <col min="8193" max="8193" width="9.85546875" customWidth="1"/>
    <col min="8194" max="8194" width="8.42578125" customWidth="1"/>
    <col min="8195" max="8195" width="5.85546875" customWidth="1"/>
    <col min="8433" max="8433" width="3.5703125" customWidth="1"/>
    <col min="8434" max="8434" width="13.140625" customWidth="1"/>
    <col min="8435" max="8435" width="24.42578125" bestFit="1" customWidth="1"/>
    <col min="8436" max="8436" width="10.140625" customWidth="1"/>
    <col min="8437" max="8438" width="9.85546875" customWidth="1"/>
    <col min="8439" max="8439" width="8.85546875" customWidth="1"/>
    <col min="8440" max="8440" width="10.85546875" customWidth="1"/>
    <col min="8441" max="8441" width="13.140625" customWidth="1"/>
    <col min="8442" max="8442" width="14" customWidth="1"/>
    <col min="8443" max="8443" width="9.5703125" customWidth="1"/>
    <col min="8444" max="8444" width="9.42578125" customWidth="1"/>
    <col min="8446" max="8446" width="10.5703125" customWidth="1"/>
    <col min="8448" max="8448" width="13.42578125" customWidth="1"/>
    <col min="8449" max="8449" width="9.85546875" customWidth="1"/>
    <col min="8450" max="8450" width="8.42578125" customWidth="1"/>
    <col min="8451" max="8451" width="5.85546875" customWidth="1"/>
    <col min="8689" max="8689" width="3.5703125" customWidth="1"/>
    <col min="8690" max="8690" width="13.140625" customWidth="1"/>
    <col min="8691" max="8691" width="24.42578125" bestFit="1" customWidth="1"/>
    <col min="8692" max="8692" width="10.140625" customWidth="1"/>
    <col min="8693" max="8694" width="9.85546875" customWidth="1"/>
    <col min="8695" max="8695" width="8.85546875" customWidth="1"/>
    <col min="8696" max="8696" width="10.85546875" customWidth="1"/>
    <col min="8697" max="8697" width="13.140625" customWidth="1"/>
    <col min="8698" max="8698" width="14" customWidth="1"/>
    <col min="8699" max="8699" width="9.5703125" customWidth="1"/>
    <col min="8700" max="8700" width="9.42578125" customWidth="1"/>
    <col min="8702" max="8702" width="10.5703125" customWidth="1"/>
    <col min="8704" max="8704" width="13.42578125" customWidth="1"/>
    <col min="8705" max="8705" width="9.85546875" customWidth="1"/>
    <col min="8706" max="8706" width="8.42578125" customWidth="1"/>
    <col min="8707" max="8707" width="5.85546875" customWidth="1"/>
    <col min="8945" max="8945" width="3.5703125" customWidth="1"/>
    <col min="8946" max="8946" width="13.140625" customWidth="1"/>
    <col min="8947" max="8947" width="24.42578125" bestFit="1" customWidth="1"/>
    <col min="8948" max="8948" width="10.140625" customWidth="1"/>
    <col min="8949" max="8950" width="9.85546875" customWidth="1"/>
    <col min="8951" max="8951" width="8.85546875" customWidth="1"/>
    <col min="8952" max="8952" width="10.85546875" customWidth="1"/>
    <col min="8953" max="8953" width="13.140625" customWidth="1"/>
    <col min="8954" max="8954" width="14" customWidth="1"/>
    <col min="8955" max="8955" width="9.5703125" customWidth="1"/>
    <col min="8956" max="8956" width="9.42578125" customWidth="1"/>
    <col min="8958" max="8958" width="10.5703125" customWidth="1"/>
    <col min="8960" max="8960" width="13.42578125" customWidth="1"/>
    <col min="8961" max="8961" width="9.85546875" customWidth="1"/>
    <col min="8962" max="8962" width="8.42578125" customWidth="1"/>
    <col min="8963" max="8963" width="5.85546875" customWidth="1"/>
    <col min="9201" max="9201" width="3.5703125" customWidth="1"/>
    <col min="9202" max="9202" width="13.140625" customWidth="1"/>
    <col min="9203" max="9203" width="24.42578125" bestFit="1" customWidth="1"/>
    <col min="9204" max="9204" width="10.140625" customWidth="1"/>
    <col min="9205" max="9206" width="9.85546875" customWidth="1"/>
    <col min="9207" max="9207" width="8.85546875" customWidth="1"/>
    <col min="9208" max="9208" width="10.85546875" customWidth="1"/>
    <col min="9209" max="9209" width="13.140625" customWidth="1"/>
    <col min="9210" max="9210" width="14" customWidth="1"/>
    <col min="9211" max="9211" width="9.5703125" customWidth="1"/>
    <col min="9212" max="9212" width="9.42578125" customWidth="1"/>
    <col min="9214" max="9214" width="10.5703125" customWidth="1"/>
    <col min="9216" max="9216" width="13.42578125" customWidth="1"/>
    <col min="9217" max="9217" width="9.85546875" customWidth="1"/>
    <col min="9218" max="9218" width="8.42578125" customWidth="1"/>
    <col min="9219" max="9219" width="5.85546875" customWidth="1"/>
    <col min="9457" max="9457" width="3.5703125" customWidth="1"/>
    <col min="9458" max="9458" width="13.140625" customWidth="1"/>
    <col min="9459" max="9459" width="24.42578125" bestFit="1" customWidth="1"/>
    <col min="9460" max="9460" width="10.140625" customWidth="1"/>
    <col min="9461" max="9462" width="9.85546875" customWidth="1"/>
    <col min="9463" max="9463" width="8.85546875" customWidth="1"/>
    <col min="9464" max="9464" width="10.85546875" customWidth="1"/>
    <col min="9465" max="9465" width="13.140625" customWidth="1"/>
    <col min="9466" max="9466" width="14" customWidth="1"/>
    <col min="9467" max="9467" width="9.5703125" customWidth="1"/>
    <col min="9468" max="9468" width="9.42578125" customWidth="1"/>
    <col min="9470" max="9470" width="10.5703125" customWidth="1"/>
    <col min="9472" max="9472" width="13.42578125" customWidth="1"/>
    <col min="9473" max="9473" width="9.85546875" customWidth="1"/>
    <col min="9474" max="9474" width="8.42578125" customWidth="1"/>
    <col min="9475" max="9475" width="5.85546875" customWidth="1"/>
    <col min="9713" max="9713" width="3.5703125" customWidth="1"/>
    <col min="9714" max="9714" width="13.140625" customWidth="1"/>
    <col min="9715" max="9715" width="24.42578125" bestFit="1" customWidth="1"/>
    <col min="9716" max="9716" width="10.140625" customWidth="1"/>
    <col min="9717" max="9718" width="9.85546875" customWidth="1"/>
    <col min="9719" max="9719" width="8.85546875" customWidth="1"/>
    <col min="9720" max="9720" width="10.85546875" customWidth="1"/>
    <col min="9721" max="9721" width="13.140625" customWidth="1"/>
    <col min="9722" max="9722" width="14" customWidth="1"/>
    <col min="9723" max="9723" width="9.5703125" customWidth="1"/>
    <col min="9724" max="9724" width="9.42578125" customWidth="1"/>
    <col min="9726" max="9726" width="10.5703125" customWidth="1"/>
    <col min="9728" max="9728" width="13.42578125" customWidth="1"/>
    <col min="9729" max="9729" width="9.85546875" customWidth="1"/>
    <col min="9730" max="9730" width="8.42578125" customWidth="1"/>
    <col min="9731" max="9731" width="5.85546875" customWidth="1"/>
    <col min="9969" max="9969" width="3.5703125" customWidth="1"/>
    <col min="9970" max="9970" width="13.140625" customWidth="1"/>
    <col min="9971" max="9971" width="24.42578125" bestFit="1" customWidth="1"/>
    <col min="9972" max="9972" width="10.140625" customWidth="1"/>
    <col min="9973" max="9974" width="9.85546875" customWidth="1"/>
    <col min="9975" max="9975" width="8.85546875" customWidth="1"/>
    <col min="9976" max="9976" width="10.85546875" customWidth="1"/>
    <col min="9977" max="9977" width="13.140625" customWidth="1"/>
    <col min="9978" max="9978" width="14" customWidth="1"/>
    <col min="9979" max="9979" width="9.5703125" customWidth="1"/>
    <col min="9980" max="9980" width="9.42578125" customWidth="1"/>
    <col min="9982" max="9982" width="10.5703125" customWidth="1"/>
    <col min="9984" max="9984" width="13.42578125" customWidth="1"/>
    <col min="9985" max="9985" width="9.85546875" customWidth="1"/>
    <col min="9986" max="9986" width="8.42578125" customWidth="1"/>
    <col min="9987" max="9987" width="5.85546875" customWidth="1"/>
    <col min="10225" max="10225" width="3.5703125" customWidth="1"/>
    <col min="10226" max="10226" width="13.140625" customWidth="1"/>
    <col min="10227" max="10227" width="24.42578125" bestFit="1" customWidth="1"/>
    <col min="10228" max="10228" width="10.140625" customWidth="1"/>
    <col min="10229" max="10230" width="9.85546875" customWidth="1"/>
    <col min="10231" max="10231" width="8.85546875" customWidth="1"/>
    <col min="10232" max="10232" width="10.85546875" customWidth="1"/>
    <col min="10233" max="10233" width="13.140625" customWidth="1"/>
    <col min="10234" max="10234" width="14" customWidth="1"/>
    <col min="10235" max="10235" width="9.5703125" customWidth="1"/>
    <col min="10236" max="10236" width="9.42578125" customWidth="1"/>
    <col min="10238" max="10238" width="10.5703125" customWidth="1"/>
    <col min="10240" max="10240" width="13.42578125" customWidth="1"/>
    <col min="10241" max="10241" width="9.85546875" customWidth="1"/>
    <col min="10242" max="10242" width="8.42578125" customWidth="1"/>
    <col min="10243" max="10243" width="5.85546875" customWidth="1"/>
    <col min="10481" max="10481" width="3.5703125" customWidth="1"/>
    <col min="10482" max="10482" width="13.140625" customWidth="1"/>
    <col min="10483" max="10483" width="24.42578125" bestFit="1" customWidth="1"/>
    <col min="10484" max="10484" width="10.140625" customWidth="1"/>
    <col min="10485" max="10486" width="9.85546875" customWidth="1"/>
    <col min="10487" max="10487" width="8.85546875" customWidth="1"/>
    <col min="10488" max="10488" width="10.85546875" customWidth="1"/>
    <col min="10489" max="10489" width="13.140625" customWidth="1"/>
    <col min="10490" max="10490" width="14" customWidth="1"/>
    <col min="10491" max="10491" width="9.5703125" customWidth="1"/>
    <col min="10492" max="10492" width="9.42578125" customWidth="1"/>
    <col min="10494" max="10494" width="10.5703125" customWidth="1"/>
    <col min="10496" max="10496" width="13.42578125" customWidth="1"/>
    <col min="10497" max="10497" width="9.85546875" customWidth="1"/>
    <col min="10498" max="10498" width="8.42578125" customWidth="1"/>
    <col min="10499" max="10499" width="5.85546875" customWidth="1"/>
    <col min="10737" max="10737" width="3.5703125" customWidth="1"/>
    <col min="10738" max="10738" width="13.140625" customWidth="1"/>
    <col min="10739" max="10739" width="24.42578125" bestFit="1" customWidth="1"/>
    <col min="10740" max="10740" width="10.140625" customWidth="1"/>
    <col min="10741" max="10742" width="9.85546875" customWidth="1"/>
    <col min="10743" max="10743" width="8.85546875" customWidth="1"/>
    <col min="10744" max="10744" width="10.85546875" customWidth="1"/>
    <col min="10745" max="10745" width="13.140625" customWidth="1"/>
    <col min="10746" max="10746" width="14" customWidth="1"/>
    <col min="10747" max="10747" width="9.5703125" customWidth="1"/>
    <col min="10748" max="10748" width="9.42578125" customWidth="1"/>
    <col min="10750" max="10750" width="10.5703125" customWidth="1"/>
    <col min="10752" max="10752" width="13.42578125" customWidth="1"/>
    <col min="10753" max="10753" width="9.85546875" customWidth="1"/>
    <col min="10754" max="10754" width="8.42578125" customWidth="1"/>
    <col min="10755" max="10755" width="5.85546875" customWidth="1"/>
    <col min="10993" max="10993" width="3.5703125" customWidth="1"/>
    <col min="10994" max="10994" width="13.140625" customWidth="1"/>
    <col min="10995" max="10995" width="24.42578125" bestFit="1" customWidth="1"/>
    <col min="10996" max="10996" width="10.140625" customWidth="1"/>
    <col min="10997" max="10998" width="9.85546875" customWidth="1"/>
    <col min="10999" max="10999" width="8.85546875" customWidth="1"/>
    <col min="11000" max="11000" width="10.85546875" customWidth="1"/>
    <col min="11001" max="11001" width="13.140625" customWidth="1"/>
    <col min="11002" max="11002" width="14" customWidth="1"/>
    <col min="11003" max="11003" width="9.5703125" customWidth="1"/>
    <col min="11004" max="11004" width="9.42578125" customWidth="1"/>
    <col min="11006" max="11006" width="10.5703125" customWidth="1"/>
    <col min="11008" max="11008" width="13.42578125" customWidth="1"/>
    <col min="11009" max="11009" width="9.85546875" customWidth="1"/>
    <col min="11010" max="11010" width="8.42578125" customWidth="1"/>
    <col min="11011" max="11011" width="5.85546875" customWidth="1"/>
    <col min="11249" max="11249" width="3.5703125" customWidth="1"/>
    <col min="11250" max="11250" width="13.140625" customWidth="1"/>
    <col min="11251" max="11251" width="24.42578125" bestFit="1" customWidth="1"/>
    <col min="11252" max="11252" width="10.140625" customWidth="1"/>
    <col min="11253" max="11254" width="9.85546875" customWidth="1"/>
    <col min="11255" max="11255" width="8.85546875" customWidth="1"/>
    <col min="11256" max="11256" width="10.85546875" customWidth="1"/>
    <col min="11257" max="11257" width="13.140625" customWidth="1"/>
    <col min="11258" max="11258" width="14" customWidth="1"/>
    <col min="11259" max="11259" width="9.5703125" customWidth="1"/>
    <col min="11260" max="11260" width="9.42578125" customWidth="1"/>
    <col min="11262" max="11262" width="10.5703125" customWidth="1"/>
    <col min="11264" max="11264" width="13.42578125" customWidth="1"/>
    <col min="11265" max="11265" width="9.85546875" customWidth="1"/>
    <col min="11266" max="11266" width="8.42578125" customWidth="1"/>
    <col min="11267" max="11267" width="5.85546875" customWidth="1"/>
    <col min="11505" max="11505" width="3.5703125" customWidth="1"/>
    <col min="11506" max="11506" width="13.140625" customWidth="1"/>
    <col min="11507" max="11507" width="24.42578125" bestFit="1" customWidth="1"/>
    <col min="11508" max="11508" width="10.140625" customWidth="1"/>
    <col min="11509" max="11510" width="9.85546875" customWidth="1"/>
    <col min="11511" max="11511" width="8.85546875" customWidth="1"/>
    <col min="11512" max="11512" width="10.85546875" customWidth="1"/>
    <col min="11513" max="11513" width="13.140625" customWidth="1"/>
    <col min="11514" max="11514" width="14" customWidth="1"/>
    <col min="11515" max="11515" width="9.5703125" customWidth="1"/>
    <col min="11516" max="11516" width="9.42578125" customWidth="1"/>
    <col min="11518" max="11518" width="10.5703125" customWidth="1"/>
    <col min="11520" max="11520" width="13.42578125" customWidth="1"/>
    <col min="11521" max="11521" width="9.85546875" customWidth="1"/>
    <col min="11522" max="11522" width="8.42578125" customWidth="1"/>
    <col min="11523" max="11523" width="5.85546875" customWidth="1"/>
    <col min="11761" max="11761" width="3.5703125" customWidth="1"/>
    <col min="11762" max="11762" width="13.140625" customWidth="1"/>
    <col min="11763" max="11763" width="24.42578125" bestFit="1" customWidth="1"/>
    <col min="11764" max="11764" width="10.140625" customWidth="1"/>
    <col min="11765" max="11766" width="9.85546875" customWidth="1"/>
    <col min="11767" max="11767" width="8.85546875" customWidth="1"/>
    <col min="11768" max="11768" width="10.85546875" customWidth="1"/>
    <col min="11769" max="11769" width="13.140625" customWidth="1"/>
    <col min="11770" max="11770" width="14" customWidth="1"/>
    <col min="11771" max="11771" width="9.5703125" customWidth="1"/>
    <col min="11772" max="11772" width="9.42578125" customWidth="1"/>
    <col min="11774" max="11774" width="10.5703125" customWidth="1"/>
    <col min="11776" max="11776" width="13.42578125" customWidth="1"/>
    <col min="11777" max="11777" width="9.85546875" customWidth="1"/>
    <col min="11778" max="11778" width="8.42578125" customWidth="1"/>
    <col min="11779" max="11779" width="5.85546875" customWidth="1"/>
    <col min="12017" max="12017" width="3.5703125" customWidth="1"/>
    <col min="12018" max="12018" width="13.140625" customWidth="1"/>
    <col min="12019" max="12019" width="24.42578125" bestFit="1" customWidth="1"/>
    <col min="12020" max="12020" width="10.140625" customWidth="1"/>
    <col min="12021" max="12022" width="9.85546875" customWidth="1"/>
    <col min="12023" max="12023" width="8.85546875" customWidth="1"/>
    <col min="12024" max="12024" width="10.85546875" customWidth="1"/>
    <col min="12025" max="12025" width="13.140625" customWidth="1"/>
    <col min="12026" max="12026" width="14" customWidth="1"/>
    <col min="12027" max="12027" width="9.5703125" customWidth="1"/>
    <col min="12028" max="12028" width="9.42578125" customWidth="1"/>
    <col min="12030" max="12030" width="10.5703125" customWidth="1"/>
    <col min="12032" max="12032" width="13.42578125" customWidth="1"/>
    <col min="12033" max="12033" width="9.85546875" customWidth="1"/>
    <col min="12034" max="12034" width="8.42578125" customWidth="1"/>
    <col min="12035" max="12035" width="5.85546875" customWidth="1"/>
    <col min="12273" max="12273" width="3.5703125" customWidth="1"/>
    <col min="12274" max="12274" width="13.140625" customWidth="1"/>
    <col min="12275" max="12275" width="24.42578125" bestFit="1" customWidth="1"/>
    <col min="12276" max="12276" width="10.140625" customWidth="1"/>
    <col min="12277" max="12278" width="9.85546875" customWidth="1"/>
    <col min="12279" max="12279" width="8.85546875" customWidth="1"/>
    <col min="12280" max="12280" width="10.85546875" customWidth="1"/>
    <col min="12281" max="12281" width="13.140625" customWidth="1"/>
    <col min="12282" max="12282" width="14" customWidth="1"/>
    <col min="12283" max="12283" width="9.5703125" customWidth="1"/>
    <col min="12284" max="12284" width="9.42578125" customWidth="1"/>
    <col min="12286" max="12286" width="10.5703125" customWidth="1"/>
    <col min="12288" max="12288" width="13.42578125" customWidth="1"/>
    <col min="12289" max="12289" width="9.85546875" customWidth="1"/>
    <col min="12290" max="12290" width="8.42578125" customWidth="1"/>
    <col min="12291" max="12291" width="5.85546875" customWidth="1"/>
    <col min="12529" max="12529" width="3.5703125" customWidth="1"/>
    <col min="12530" max="12530" width="13.140625" customWidth="1"/>
    <col min="12531" max="12531" width="24.42578125" bestFit="1" customWidth="1"/>
    <col min="12532" max="12532" width="10.140625" customWidth="1"/>
    <col min="12533" max="12534" width="9.85546875" customWidth="1"/>
    <col min="12535" max="12535" width="8.85546875" customWidth="1"/>
    <col min="12536" max="12536" width="10.85546875" customWidth="1"/>
    <col min="12537" max="12537" width="13.140625" customWidth="1"/>
    <col min="12538" max="12538" width="14" customWidth="1"/>
    <col min="12539" max="12539" width="9.5703125" customWidth="1"/>
    <col min="12540" max="12540" width="9.42578125" customWidth="1"/>
    <col min="12542" max="12542" width="10.5703125" customWidth="1"/>
    <col min="12544" max="12544" width="13.42578125" customWidth="1"/>
    <col min="12545" max="12545" width="9.85546875" customWidth="1"/>
    <col min="12546" max="12546" width="8.42578125" customWidth="1"/>
    <col min="12547" max="12547" width="5.85546875" customWidth="1"/>
    <col min="12785" max="12785" width="3.5703125" customWidth="1"/>
    <col min="12786" max="12786" width="13.140625" customWidth="1"/>
    <col min="12787" max="12787" width="24.42578125" bestFit="1" customWidth="1"/>
    <col min="12788" max="12788" width="10.140625" customWidth="1"/>
    <col min="12789" max="12790" width="9.85546875" customWidth="1"/>
    <col min="12791" max="12791" width="8.85546875" customWidth="1"/>
    <col min="12792" max="12792" width="10.85546875" customWidth="1"/>
    <col min="12793" max="12793" width="13.140625" customWidth="1"/>
    <col min="12794" max="12794" width="14" customWidth="1"/>
    <col min="12795" max="12795" width="9.5703125" customWidth="1"/>
    <col min="12796" max="12796" width="9.42578125" customWidth="1"/>
    <col min="12798" max="12798" width="10.5703125" customWidth="1"/>
    <col min="12800" max="12800" width="13.42578125" customWidth="1"/>
    <col min="12801" max="12801" width="9.85546875" customWidth="1"/>
    <col min="12802" max="12802" width="8.42578125" customWidth="1"/>
    <col min="12803" max="12803" width="5.85546875" customWidth="1"/>
    <col min="13041" max="13041" width="3.5703125" customWidth="1"/>
    <col min="13042" max="13042" width="13.140625" customWidth="1"/>
    <col min="13043" max="13043" width="24.42578125" bestFit="1" customWidth="1"/>
    <col min="13044" max="13044" width="10.140625" customWidth="1"/>
    <col min="13045" max="13046" width="9.85546875" customWidth="1"/>
    <col min="13047" max="13047" width="8.85546875" customWidth="1"/>
    <col min="13048" max="13048" width="10.85546875" customWidth="1"/>
    <col min="13049" max="13049" width="13.140625" customWidth="1"/>
    <col min="13050" max="13050" width="14" customWidth="1"/>
    <col min="13051" max="13051" width="9.5703125" customWidth="1"/>
    <col min="13052" max="13052" width="9.42578125" customWidth="1"/>
    <col min="13054" max="13054" width="10.5703125" customWidth="1"/>
    <col min="13056" max="13056" width="13.42578125" customWidth="1"/>
    <col min="13057" max="13057" width="9.85546875" customWidth="1"/>
    <col min="13058" max="13058" width="8.42578125" customWidth="1"/>
    <col min="13059" max="13059" width="5.85546875" customWidth="1"/>
    <col min="13297" max="13297" width="3.5703125" customWidth="1"/>
    <col min="13298" max="13298" width="13.140625" customWidth="1"/>
    <col min="13299" max="13299" width="24.42578125" bestFit="1" customWidth="1"/>
    <col min="13300" max="13300" width="10.140625" customWidth="1"/>
    <col min="13301" max="13302" width="9.85546875" customWidth="1"/>
    <col min="13303" max="13303" width="8.85546875" customWidth="1"/>
    <col min="13304" max="13304" width="10.85546875" customWidth="1"/>
    <col min="13305" max="13305" width="13.140625" customWidth="1"/>
    <col min="13306" max="13306" width="14" customWidth="1"/>
    <col min="13307" max="13307" width="9.5703125" customWidth="1"/>
    <col min="13308" max="13308" width="9.42578125" customWidth="1"/>
    <col min="13310" max="13310" width="10.5703125" customWidth="1"/>
    <col min="13312" max="13312" width="13.42578125" customWidth="1"/>
    <col min="13313" max="13313" width="9.85546875" customWidth="1"/>
    <col min="13314" max="13314" width="8.42578125" customWidth="1"/>
    <col min="13315" max="13315" width="5.85546875" customWidth="1"/>
    <col min="13553" max="13553" width="3.5703125" customWidth="1"/>
    <col min="13554" max="13554" width="13.140625" customWidth="1"/>
    <col min="13555" max="13555" width="24.42578125" bestFit="1" customWidth="1"/>
    <col min="13556" max="13556" width="10.140625" customWidth="1"/>
    <col min="13557" max="13558" width="9.85546875" customWidth="1"/>
    <col min="13559" max="13559" width="8.85546875" customWidth="1"/>
    <col min="13560" max="13560" width="10.85546875" customWidth="1"/>
    <col min="13561" max="13561" width="13.140625" customWidth="1"/>
    <col min="13562" max="13562" width="14" customWidth="1"/>
    <col min="13563" max="13563" width="9.5703125" customWidth="1"/>
    <col min="13564" max="13564" width="9.42578125" customWidth="1"/>
    <col min="13566" max="13566" width="10.5703125" customWidth="1"/>
    <col min="13568" max="13568" width="13.42578125" customWidth="1"/>
    <col min="13569" max="13569" width="9.85546875" customWidth="1"/>
    <col min="13570" max="13570" width="8.42578125" customWidth="1"/>
    <col min="13571" max="13571" width="5.85546875" customWidth="1"/>
    <col min="13809" max="13809" width="3.5703125" customWidth="1"/>
    <col min="13810" max="13810" width="13.140625" customWidth="1"/>
    <col min="13811" max="13811" width="24.42578125" bestFit="1" customWidth="1"/>
    <col min="13812" max="13812" width="10.140625" customWidth="1"/>
    <col min="13813" max="13814" width="9.85546875" customWidth="1"/>
    <col min="13815" max="13815" width="8.85546875" customWidth="1"/>
    <col min="13816" max="13816" width="10.85546875" customWidth="1"/>
    <col min="13817" max="13817" width="13.140625" customWidth="1"/>
    <col min="13818" max="13818" width="14" customWidth="1"/>
    <col min="13819" max="13819" width="9.5703125" customWidth="1"/>
    <col min="13820" max="13820" width="9.42578125" customWidth="1"/>
    <col min="13822" max="13822" width="10.5703125" customWidth="1"/>
    <col min="13824" max="13824" width="13.42578125" customWidth="1"/>
    <col min="13825" max="13825" width="9.85546875" customWidth="1"/>
    <col min="13826" max="13826" width="8.42578125" customWidth="1"/>
    <col min="13827" max="13827" width="5.85546875" customWidth="1"/>
    <col min="14065" max="14065" width="3.5703125" customWidth="1"/>
    <col min="14066" max="14066" width="13.140625" customWidth="1"/>
    <col min="14067" max="14067" width="24.42578125" bestFit="1" customWidth="1"/>
    <col min="14068" max="14068" width="10.140625" customWidth="1"/>
    <col min="14069" max="14070" width="9.85546875" customWidth="1"/>
    <col min="14071" max="14071" width="8.85546875" customWidth="1"/>
    <col min="14072" max="14072" width="10.85546875" customWidth="1"/>
    <col min="14073" max="14073" width="13.140625" customWidth="1"/>
    <col min="14074" max="14074" width="14" customWidth="1"/>
    <col min="14075" max="14075" width="9.5703125" customWidth="1"/>
    <col min="14076" max="14076" width="9.42578125" customWidth="1"/>
    <col min="14078" max="14078" width="10.5703125" customWidth="1"/>
    <col min="14080" max="14080" width="13.42578125" customWidth="1"/>
    <col min="14081" max="14081" width="9.85546875" customWidth="1"/>
    <col min="14082" max="14082" width="8.42578125" customWidth="1"/>
    <col min="14083" max="14083" width="5.85546875" customWidth="1"/>
    <col min="14321" max="14321" width="3.5703125" customWidth="1"/>
    <col min="14322" max="14322" width="13.140625" customWidth="1"/>
    <col min="14323" max="14323" width="24.42578125" bestFit="1" customWidth="1"/>
    <col min="14324" max="14324" width="10.140625" customWidth="1"/>
    <col min="14325" max="14326" width="9.85546875" customWidth="1"/>
    <col min="14327" max="14327" width="8.85546875" customWidth="1"/>
    <col min="14328" max="14328" width="10.85546875" customWidth="1"/>
    <col min="14329" max="14329" width="13.140625" customWidth="1"/>
    <col min="14330" max="14330" width="14" customWidth="1"/>
    <col min="14331" max="14331" width="9.5703125" customWidth="1"/>
    <col min="14332" max="14332" width="9.42578125" customWidth="1"/>
    <col min="14334" max="14334" width="10.5703125" customWidth="1"/>
    <col min="14336" max="14336" width="13.42578125" customWidth="1"/>
    <col min="14337" max="14337" width="9.85546875" customWidth="1"/>
    <col min="14338" max="14338" width="8.42578125" customWidth="1"/>
    <col min="14339" max="14339" width="5.85546875" customWidth="1"/>
    <col min="14577" max="14577" width="3.5703125" customWidth="1"/>
    <col min="14578" max="14578" width="13.140625" customWidth="1"/>
    <col min="14579" max="14579" width="24.42578125" bestFit="1" customWidth="1"/>
    <col min="14580" max="14580" width="10.140625" customWidth="1"/>
    <col min="14581" max="14582" width="9.85546875" customWidth="1"/>
    <col min="14583" max="14583" width="8.85546875" customWidth="1"/>
    <col min="14584" max="14584" width="10.85546875" customWidth="1"/>
    <col min="14585" max="14585" width="13.140625" customWidth="1"/>
    <col min="14586" max="14586" width="14" customWidth="1"/>
    <col min="14587" max="14587" width="9.5703125" customWidth="1"/>
    <col min="14588" max="14588" width="9.42578125" customWidth="1"/>
    <col min="14590" max="14590" width="10.5703125" customWidth="1"/>
    <col min="14592" max="14592" width="13.42578125" customWidth="1"/>
    <col min="14593" max="14593" width="9.85546875" customWidth="1"/>
    <col min="14594" max="14594" width="8.42578125" customWidth="1"/>
    <col min="14595" max="14595" width="5.85546875" customWidth="1"/>
    <col min="14833" max="14833" width="3.5703125" customWidth="1"/>
    <col min="14834" max="14834" width="13.140625" customWidth="1"/>
    <col min="14835" max="14835" width="24.42578125" bestFit="1" customWidth="1"/>
    <col min="14836" max="14836" width="10.140625" customWidth="1"/>
    <col min="14837" max="14838" width="9.85546875" customWidth="1"/>
    <col min="14839" max="14839" width="8.85546875" customWidth="1"/>
    <col min="14840" max="14840" width="10.85546875" customWidth="1"/>
    <col min="14841" max="14841" width="13.140625" customWidth="1"/>
    <col min="14842" max="14842" width="14" customWidth="1"/>
    <col min="14843" max="14843" width="9.5703125" customWidth="1"/>
    <col min="14844" max="14844" width="9.42578125" customWidth="1"/>
    <col min="14846" max="14846" width="10.5703125" customWidth="1"/>
    <col min="14848" max="14848" width="13.42578125" customWidth="1"/>
    <col min="14849" max="14849" width="9.85546875" customWidth="1"/>
    <col min="14850" max="14850" width="8.42578125" customWidth="1"/>
    <col min="14851" max="14851" width="5.85546875" customWidth="1"/>
    <col min="15089" max="15089" width="3.5703125" customWidth="1"/>
    <col min="15090" max="15090" width="13.140625" customWidth="1"/>
    <col min="15091" max="15091" width="24.42578125" bestFit="1" customWidth="1"/>
    <col min="15092" max="15092" width="10.140625" customWidth="1"/>
    <col min="15093" max="15094" width="9.85546875" customWidth="1"/>
    <col min="15095" max="15095" width="8.85546875" customWidth="1"/>
    <col min="15096" max="15096" width="10.85546875" customWidth="1"/>
    <col min="15097" max="15097" width="13.140625" customWidth="1"/>
    <col min="15098" max="15098" width="14" customWidth="1"/>
    <col min="15099" max="15099" width="9.5703125" customWidth="1"/>
    <col min="15100" max="15100" width="9.42578125" customWidth="1"/>
    <col min="15102" max="15102" width="10.5703125" customWidth="1"/>
    <col min="15104" max="15104" width="13.42578125" customWidth="1"/>
    <col min="15105" max="15105" width="9.85546875" customWidth="1"/>
    <col min="15106" max="15106" width="8.42578125" customWidth="1"/>
    <col min="15107" max="15107" width="5.85546875" customWidth="1"/>
    <col min="15345" max="15345" width="3.5703125" customWidth="1"/>
    <col min="15346" max="15346" width="13.140625" customWidth="1"/>
    <col min="15347" max="15347" width="24.42578125" bestFit="1" customWidth="1"/>
    <col min="15348" max="15348" width="10.140625" customWidth="1"/>
    <col min="15349" max="15350" width="9.85546875" customWidth="1"/>
    <col min="15351" max="15351" width="8.85546875" customWidth="1"/>
    <col min="15352" max="15352" width="10.85546875" customWidth="1"/>
    <col min="15353" max="15353" width="13.140625" customWidth="1"/>
    <col min="15354" max="15354" width="14" customWidth="1"/>
    <col min="15355" max="15355" width="9.5703125" customWidth="1"/>
    <col min="15356" max="15356" width="9.42578125" customWidth="1"/>
    <col min="15358" max="15358" width="10.5703125" customWidth="1"/>
    <col min="15360" max="15360" width="13.42578125" customWidth="1"/>
    <col min="15361" max="15361" width="9.85546875" customWidth="1"/>
    <col min="15362" max="15362" width="8.42578125" customWidth="1"/>
    <col min="15363" max="15363" width="5.85546875" customWidth="1"/>
    <col min="15601" max="15601" width="3.5703125" customWidth="1"/>
    <col min="15602" max="15602" width="13.140625" customWidth="1"/>
    <col min="15603" max="15603" width="24.42578125" bestFit="1" customWidth="1"/>
    <col min="15604" max="15604" width="10.140625" customWidth="1"/>
    <col min="15605" max="15606" width="9.85546875" customWidth="1"/>
    <col min="15607" max="15607" width="8.85546875" customWidth="1"/>
    <col min="15608" max="15608" width="10.85546875" customWidth="1"/>
    <col min="15609" max="15609" width="13.140625" customWidth="1"/>
    <col min="15610" max="15610" width="14" customWidth="1"/>
    <col min="15611" max="15611" width="9.5703125" customWidth="1"/>
    <col min="15612" max="15612" width="9.42578125" customWidth="1"/>
    <col min="15614" max="15614" width="10.5703125" customWidth="1"/>
    <col min="15616" max="15616" width="13.42578125" customWidth="1"/>
    <col min="15617" max="15617" width="9.85546875" customWidth="1"/>
    <col min="15618" max="15618" width="8.42578125" customWidth="1"/>
    <col min="15619" max="15619" width="5.85546875" customWidth="1"/>
    <col min="15857" max="15857" width="3.5703125" customWidth="1"/>
    <col min="15858" max="15858" width="13.140625" customWidth="1"/>
    <col min="15859" max="15859" width="24.42578125" bestFit="1" customWidth="1"/>
    <col min="15860" max="15860" width="10.140625" customWidth="1"/>
    <col min="15861" max="15862" width="9.85546875" customWidth="1"/>
    <col min="15863" max="15863" width="8.85546875" customWidth="1"/>
    <col min="15864" max="15864" width="10.85546875" customWidth="1"/>
    <col min="15865" max="15865" width="13.140625" customWidth="1"/>
    <col min="15866" max="15866" width="14" customWidth="1"/>
    <col min="15867" max="15867" width="9.5703125" customWidth="1"/>
    <col min="15868" max="15868" width="9.42578125" customWidth="1"/>
    <col min="15870" max="15870" width="10.5703125" customWidth="1"/>
    <col min="15872" max="15872" width="13.42578125" customWidth="1"/>
    <col min="15873" max="15873" width="9.85546875" customWidth="1"/>
    <col min="15874" max="15874" width="8.42578125" customWidth="1"/>
    <col min="15875" max="15875" width="5.85546875" customWidth="1"/>
    <col min="16113" max="16113" width="3.5703125" customWidth="1"/>
    <col min="16114" max="16114" width="13.140625" customWidth="1"/>
    <col min="16115" max="16115" width="24.42578125" bestFit="1" customWidth="1"/>
    <col min="16116" max="16116" width="10.140625" customWidth="1"/>
    <col min="16117" max="16118" width="9.85546875" customWidth="1"/>
    <col min="16119" max="16119" width="8.85546875" customWidth="1"/>
    <col min="16120" max="16120" width="10.85546875" customWidth="1"/>
    <col min="16121" max="16121" width="13.140625" customWidth="1"/>
    <col min="16122" max="16122" width="14" customWidth="1"/>
    <col min="16123" max="16123" width="9.5703125" customWidth="1"/>
    <col min="16124" max="16124" width="9.42578125" customWidth="1"/>
    <col min="16126" max="16126" width="10.5703125" customWidth="1"/>
    <col min="16128" max="16128" width="13.42578125" customWidth="1"/>
    <col min="16129" max="16129" width="9.85546875" customWidth="1"/>
    <col min="16130" max="16130" width="8.42578125" customWidth="1"/>
    <col min="16131" max="16131" width="5.85546875" customWidth="1"/>
  </cols>
  <sheetData>
    <row r="1" spans="1:5" ht="21" x14ac:dyDescent="0.35">
      <c r="A1" s="471" t="s">
        <v>519</v>
      </c>
      <c r="B1" s="471"/>
      <c r="C1" s="471"/>
      <c r="D1" s="471"/>
      <c r="E1" s="471"/>
    </row>
    <row r="3" spans="1:5" ht="20.25" x14ac:dyDescent="0.3">
      <c r="A3" s="350" t="s">
        <v>386</v>
      </c>
      <c r="B3" s="350"/>
    </row>
    <row r="4" spans="1:5" ht="15.75" x14ac:dyDescent="0.25">
      <c r="A4" s="351" t="s">
        <v>387</v>
      </c>
      <c r="B4" s="351"/>
    </row>
    <row r="5" spans="1:5" ht="15.75" x14ac:dyDescent="0.25">
      <c r="A5" s="260"/>
      <c r="B5" s="260"/>
    </row>
    <row r="6" spans="1:5" ht="36.75" customHeight="1" x14ac:dyDescent="0.25">
      <c r="A6" s="262" t="s">
        <v>531</v>
      </c>
      <c r="B6" s="472" t="str">
        <f>+Planilla!B5</f>
        <v>INSPECCIÓN DETALLADA y DIAGNOSTICO ESTRUCTURAL DE OBRAS DE ARTE AMBA - LINEA MITRE-ETAPA 1</v>
      </c>
      <c r="C6" s="472"/>
      <c r="D6" s="472"/>
      <c r="E6" s="472"/>
    </row>
    <row r="7" spans="1:5" ht="18" customHeight="1" x14ac:dyDescent="0.25">
      <c r="A7" s="262" t="str">
        <f>+Planilla!A6</f>
        <v>PET</v>
      </c>
      <c r="B7" s="262" t="str">
        <f>+Planilla!B6</f>
        <v>MT-VO-ET-073   Rev.: 0</v>
      </c>
      <c r="C7" s="352"/>
      <c r="D7" s="352"/>
      <c r="E7" s="352"/>
    </row>
    <row r="8" spans="1:5" ht="15.75" thickBot="1" x14ac:dyDescent="0.3"/>
    <row r="9" spans="1:5" ht="15" customHeight="1" x14ac:dyDescent="0.25">
      <c r="A9" s="473" t="s">
        <v>324</v>
      </c>
      <c r="B9" s="475" t="s">
        <v>357</v>
      </c>
      <c r="C9" s="475" t="s">
        <v>388</v>
      </c>
      <c r="D9" s="475" t="s">
        <v>389</v>
      </c>
      <c r="E9" s="478" t="s">
        <v>390</v>
      </c>
    </row>
    <row r="10" spans="1:5" ht="21" customHeight="1" x14ac:dyDescent="0.25">
      <c r="A10" s="474"/>
      <c r="B10" s="476"/>
      <c r="C10" s="477"/>
      <c r="D10" s="477"/>
      <c r="E10" s="479"/>
    </row>
    <row r="11" spans="1:5" ht="33.75" x14ac:dyDescent="0.25">
      <c r="A11" s="353"/>
      <c r="B11" s="354" t="s">
        <v>391</v>
      </c>
      <c r="C11" s="354" t="s">
        <v>392</v>
      </c>
      <c r="D11" s="354" t="s">
        <v>393</v>
      </c>
      <c r="E11" s="355" t="s">
        <v>394</v>
      </c>
    </row>
    <row r="12" spans="1:5" ht="15.75" thickBot="1" x14ac:dyDescent="0.3">
      <c r="A12" s="356"/>
      <c r="B12" s="357"/>
      <c r="C12" s="357"/>
      <c r="D12" s="357"/>
      <c r="E12" s="358"/>
    </row>
    <row r="13" spans="1:5" ht="6" customHeight="1" thickBot="1" x14ac:dyDescent="0.3">
      <c r="A13" s="359"/>
      <c r="B13" s="359"/>
      <c r="C13" s="359"/>
      <c r="D13" s="359"/>
      <c r="E13" s="359"/>
    </row>
    <row r="14" spans="1:5" ht="15" customHeight="1" thickBot="1" x14ac:dyDescent="0.3">
      <c r="A14" s="360" t="s">
        <v>395</v>
      </c>
      <c r="B14" s="361" t="s">
        <v>321</v>
      </c>
      <c r="C14" s="361"/>
      <c r="D14" s="361"/>
      <c r="E14" s="362"/>
    </row>
    <row r="15" spans="1:5" x14ac:dyDescent="0.25">
      <c r="A15" s="363"/>
      <c r="B15" s="364"/>
      <c r="C15" s="365"/>
      <c r="D15" s="366"/>
      <c r="E15" s="367"/>
    </row>
    <row r="16" spans="1:5" ht="15.75" thickBot="1" x14ac:dyDescent="0.3">
      <c r="A16" s="368"/>
      <c r="B16" s="369"/>
      <c r="C16" s="370"/>
      <c r="D16" s="371"/>
      <c r="E16" s="372"/>
    </row>
    <row r="17" spans="1:5" ht="15.75" thickBot="1" x14ac:dyDescent="0.3">
      <c r="A17" s="360" t="s">
        <v>396</v>
      </c>
      <c r="B17" s="361" t="s">
        <v>397</v>
      </c>
      <c r="C17" s="361"/>
      <c r="D17" s="361"/>
      <c r="E17" s="362"/>
    </row>
    <row r="18" spans="1:5" x14ac:dyDescent="0.25">
      <c r="A18" s="373"/>
      <c r="B18" s="374"/>
      <c r="C18" s="375"/>
      <c r="D18" s="376"/>
      <c r="E18" s="377"/>
    </row>
    <row r="19" spans="1:5" ht="15.75" thickBot="1" x14ac:dyDescent="0.3">
      <c r="A19" s="378"/>
      <c r="B19" s="379"/>
      <c r="C19" s="380"/>
      <c r="D19" s="381"/>
      <c r="E19" s="382"/>
    </row>
    <row r="20" spans="1:5" ht="15.75" thickBot="1" x14ac:dyDescent="0.3">
      <c r="A20" s="360" t="s">
        <v>398</v>
      </c>
      <c r="B20" s="361" t="s">
        <v>399</v>
      </c>
      <c r="C20" s="361"/>
      <c r="D20" s="361"/>
      <c r="E20" s="362"/>
    </row>
    <row r="21" spans="1:5" x14ac:dyDescent="0.25">
      <c r="A21" s="363"/>
      <c r="B21" s="364"/>
      <c r="C21" s="365"/>
      <c r="D21" s="366"/>
      <c r="E21" s="367"/>
    </row>
    <row r="22" spans="1:5" ht="15.75" thickBot="1" x14ac:dyDescent="0.3">
      <c r="A22" s="368"/>
      <c r="B22" s="369"/>
      <c r="C22" s="370"/>
      <c r="D22" s="371"/>
      <c r="E22" s="372"/>
    </row>
    <row r="23" spans="1:5" ht="15.75" thickBot="1" x14ac:dyDescent="0.3">
      <c r="A23" s="360" t="s">
        <v>400</v>
      </c>
      <c r="B23" s="361" t="s">
        <v>401</v>
      </c>
      <c r="C23" s="361"/>
      <c r="D23" s="361"/>
      <c r="E23" s="362"/>
    </row>
    <row r="24" spans="1:5" x14ac:dyDescent="0.25">
      <c r="A24" s="363"/>
      <c r="B24" s="364"/>
      <c r="C24" s="365"/>
      <c r="D24" s="366"/>
      <c r="E24" s="367"/>
    </row>
    <row r="25" spans="1:5" ht="15.75" thickBot="1" x14ac:dyDescent="0.3">
      <c r="A25" s="368"/>
      <c r="B25" s="369"/>
      <c r="C25" s="370"/>
      <c r="D25" s="371"/>
      <c r="E25" s="372"/>
    </row>
    <row r="26" spans="1:5" ht="15.75" thickBot="1" x14ac:dyDescent="0.3">
      <c r="A26" s="360" t="s">
        <v>402</v>
      </c>
      <c r="B26" s="361" t="s">
        <v>403</v>
      </c>
      <c r="C26" s="361"/>
      <c r="D26" s="361"/>
      <c r="E26" s="362"/>
    </row>
    <row r="27" spans="1:5" x14ac:dyDescent="0.25">
      <c r="A27" s="373"/>
      <c r="B27" s="374"/>
      <c r="C27" s="375"/>
      <c r="D27" s="376"/>
      <c r="E27" s="377"/>
    </row>
    <row r="28" spans="1:5" ht="15.75" thickBot="1" x14ac:dyDescent="0.3">
      <c r="A28" s="378"/>
      <c r="B28" s="379"/>
      <c r="C28" s="380"/>
      <c r="D28" s="381"/>
      <c r="E28" s="382"/>
    </row>
    <row r="29" spans="1:5" ht="15.75" thickBot="1" x14ac:dyDescent="0.3">
      <c r="A29" s="360" t="s">
        <v>404</v>
      </c>
      <c r="B29" s="361" t="s">
        <v>405</v>
      </c>
      <c r="C29" s="361"/>
      <c r="D29" s="361"/>
      <c r="E29" s="362"/>
    </row>
    <row r="30" spans="1:5" x14ac:dyDescent="0.25">
      <c r="A30" s="373"/>
      <c r="B30" s="374"/>
      <c r="C30" s="375"/>
      <c r="D30" s="376"/>
      <c r="E30" s="377"/>
    </row>
    <row r="31" spans="1:5" ht="15.75" thickBot="1" x14ac:dyDescent="0.3">
      <c r="A31" s="378"/>
      <c r="B31" s="379"/>
      <c r="C31" s="380"/>
      <c r="D31" s="381"/>
      <c r="E31" s="382"/>
    </row>
    <row r="32" spans="1:5" ht="15.75" thickBot="1" x14ac:dyDescent="0.3">
      <c r="A32" s="360" t="s">
        <v>406</v>
      </c>
      <c r="B32" s="361" t="s">
        <v>405</v>
      </c>
      <c r="C32" s="361"/>
      <c r="D32" s="361"/>
      <c r="E32" s="362"/>
    </row>
    <row r="33" spans="1:5" x14ac:dyDescent="0.25">
      <c r="A33" s="373"/>
      <c r="B33" s="374"/>
      <c r="C33" s="375"/>
      <c r="D33" s="376"/>
      <c r="E33" s="377"/>
    </row>
    <row r="34" spans="1:5" ht="15.75" thickBot="1" x14ac:dyDescent="0.3">
      <c r="A34" s="378"/>
      <c r="B34" s="379"/>
      <c r="C34" s="380"/>
      <c r="D34" s="381"/>
      <c r="E34" s="382"/>
    </row>
    <row r="35" spans="1:5" ht="15.75" thickBot="1" x14ac:dyDescent="0.3">
      <c r="A35" s="360" t="s">
        <v>407</v>
      </c>
      <c r="B35" s="361" t="s">
        <v>408</v>
      </c>
      <c r="C35" s="361"/>
      <c r="D35" s="361"/>
      <c r="E35" s="362"/>
    </row>
    <row r="36" spans="1:5" x14ac:dyDescent="0.25">
      <c r="A36" s="373"/>
      <c r="B36" s="374"/>
      <c r="C36" s="375"/>
      <c r="D36" s="376"/>
      <c r="E36" s="377"/>
    </row>
    <row r="37" spans="1:5" ht="15.75" thickBot="1" x14ac:dyDescent="0.3">
      <c r="A37" s="378"/>
      <c r="B37" s="379"/>
      <c r="C37" s="380"/>
      <c r="D37" s="381"/>
      <c r="E37" s="382"/>
    </row>
    <row r="38" spans="1:5" ht="15.75" thickBot="1" x14ac:dyDescent="0.3">
      <c r="A38" s="360" t="s">
        <v>409</v>
      </c>
      <c r="B38" s="361" t="s">
        <v>410</v>
      </c>
      <c r="C38" s="361"/>
      <c r="D38" s="361"/>
      <c r="E38" s="362"/>
    </row>
    <row r="39" spans="1:5" x14ac:dyDescent="0.25">
      <c r="A39" s="373"/>
      <c r="B39" s="374"/>
      <c r="C39" s="375"/>
      <c r="D39" s="376"/>
      <c r="E39" s="377"/>
    </row>
    <row r="40" spans="1:5" ht="15.75" thickBot="1" x14ac:dyDescent="0.3">
      <c r="A40" s="378"/>
      <c r="B40" s="379"/>
      <c r="C40" s="380"/>
      <c r="D40" s="381"/>
      <c r="E40" s="382"/>
    </row>
    <row r="41" spans="1:5" ht="57" thickBot="1" x14ac:dyDescent="0.3">
      <c r="A41" s="360" t="s">
        <v>411</v>
      </c>
      <c r="B41" s="361" t="s">
        <v>412</v>
      </c>
      <c r="C41" s="361"/>
      <c r="D41" s="361"/>
      <c r="E41" s="362"/>
    </row>
    <row r="42" spans="1:5" x14ac:dyDescent="0.25">
      <c r="A42" s="373"/>
      <c r="B42" s="374"/>
      <c r="C42" s="375"/>
      <c r="D42" s="376"/>
      <c r="E42" s="377"/>
    </row>
    <row r="43" spans="1:5" ht="15.75" thickBot="1" x14ac:dyDescent="0.3">
      <c r="A43" s="378"/>
      <c r="B43" s="379"/>
      <c r="C43" s="380"/>
      <c r="D43" s="381"/>
      <c r="E43" s="382"/>
    </row>
    <row r="44" spans="1:5" ht="15.75" thickBot="1" x14ac:dyDescent="0.3">
      <c r="A44" s="360" t="s">
        <v>413</v>
      </c>
      <c r="B44" s="361" t="s">
        <v>414</v>
      </c>
      <c r="C44" s="361"/>
      <c r="D44" s="361"/>
      <c r="E44" s="362"/>
    </row>
    <row r="45" spans="1:5" x14ac:dyDescent="0.25">
      <c r="A45" s="373"/>
      <c r="B45" s="374"/>
      <c r="C45" s="375"/>
      <c r="D45" s="376"/>
      <c r="E45" s="377"/>
    </row>
    <row r="46" spans="1:5" ht="15.75" thickBot="1" x14ac:dyDescent="0.3">
      <c r="A46" s="378"/>
      <c r="B46" s="379"/>
      <c r="C46" s="380"/>
      <c r="D46" s="381"/>
      <c r="E46" s="382"/>
    </row>
    <row r="47" spans="1:5" ht="23.25" thickBot="1" x14ac:dyDescent="0.3">
      <c r="A47" s="360" t="s">
        <v>415</v>
      </c>
      <c r="B47" s="361" t="s">
        <v>416</v>
      </c>
      <c r="C47" s="361"/>
      <c r="D47" s="361"/>
      <c r="E47" s="362"/>
    </row>
    <row r="48" spans="1:5" x14ac:dyDescent="0.25">
      <c r="A48" s="373"/>
      <c r="B48" s="374"/>
      <c r="C48" s="375"/>
      <c r="D48" s="376"/>
      <c r="E48" s="377"/>
    </row>
    <row r="49" spans="1:5" ht="15.75" thickBot="1" x14ac:dyDescent="0.3">
      <c r="A49" s="378"/>
      <c r="B49" s="379"/>
      <c r="C49" s="380"/>
      <c r="D49" s="381"/>
      <c r="E49" s="382"/>
    </row>
    <row r="50" spans="1:5" ht="15.75" thickBot="1" x14ac:dyDescent="0.3">
      <c r="A50" s="360" t="s">
        <v>417</v>
      </c>
      <c r="B50" s="361" t="s">
        <v>418</v>
      </c>
      <c r="C50" s="361"/>
      <c r="D50" s="361"/>
      <c r="E50" s="362"/>
    </row>
    <row r="51" spans="1:5" x14ac:dyDescent="0.25">
      <c r="A51" s="373"/>
      <c r="B51" s="374"/>
      <c r="C51" s="375"/>
      <c r="D51" s="376"/>
      <c r="E51" s="377"/>
    </row>
    <row r="52" spans="1:5" ht="15.75" thickBot="1" x14ac:dyDescent="0.3">
      <c r="A52" s="378"/>
      <c r="B52" s="379"/>
      <c r="C52" s="380"/>
      <c r="D52" s="381"/>
      <c r="E52" s="382"/>
    </row>
    <row r="53" spans="1:5" ht="15.75" thickBot="1" x14ac:dyDescent="0.3">
      <c r="A53" s="360" t="s">
        <v>419</v>
      </c>
      <c r="B53" s="361" t="s">
        <v>420</v>
      </c>
      <c r="C53" s="361"/>
      <c r="D53" s="361"/>
      <c r="E53" s="362"/>
    </row>
    <row r="54" spans="1:5" x14ac:dyDescent="0.25">
      <c r="A54" s="373"/>
      <c r="B54" s="374"/>
      <c r="C54" s="375"/>
      <c r="D54" s="376"/>
      <c r="E54" s="377"/>
    </row>
    <row r="55" spans="1:5" ht="15.75" thickBot="1" x14ac:dyDescent="0.3">
      <c r="A55" s="378"/>
      <c r="B55" s="379"/>
      <c r="C55" s="380"/>
      <c r="D55" s="381"/>
      <c r="E55" s="382"/>
    </row>
    <row r="56" spans="1:5" ht="57" thickBot="1" x14ac:dyDescent="0.3">
      <c r="A56" s="360" t="s">
        <v>421</v>
      </c>
      <c r="B56" s="361" t="s">
        <v>422</v>
      </c>
      <c r="C56" s="361"/>
      <c r="D56" s="361"/>
      <c r="E56" s="362"/>
    </row>
    <row r="57" spans="1:5" x14ac:dyDescent="0.25">
      <c r="A57" s="373"/>
      <c r="B57" s="374"/>
      <c r="C57" s="375"/>
      <c r="D57" s="376"/>
      <c r="E57" s="377"/>
    </row>
    <row r="58" spans="1:5" ht="15.75" thickBot="1" x14ac:dyDescent="0.3">
      <c r="A58" s="378"/>
      <c r="B58" s="379"/>
      <c r="C58" s="380"/>
      <c r="D58" s="381"/>
      <c r="E58" s="382"/>
    </row>
    <row r="59" spans="1:5" ht="23.25" thickBot="1" x14ac:dyDescent="0.3">
      <c r="A59" s="360" t="s">
        <v>423</v>
      </c>
      <c r="B59" s="361" t="s">
        <v>424</v>
      </c>
      <c r="C59" s="361"/>
      <c r="D59" s="361"/>
      <c r="E59" s="362"/>
    </row>
    <row r="60" spans="1:5" x14ac:dyDescent="0.25">
      <c r="A60" s="373"/>
      <c r="B60" s="374"/>
      <c r="C60" s="375"/>
      <c r="D60" s="376"/>
      <c r="E60" s="377"/>
    </row>
    <row r="61" spans="1:5" ht="15.75" thickBot="1" x14ac:dyDescent="0.3">
      <c r="A61" s="383"/>
      <c r="B61" s="384"/>
      <c r="C61" s="385"/>
      <c r="D61" s="386"/>
      <c r="E61" s="387"/>
    </row>
  </sheetData>
  <mergeCells count="7">
    <mergeCell ref="A1:E1"/>
    <mergeCell ref="B6:E6"/>
    <mergeCell ref="A9:A10"/>
    <mergeCell ref="B9:B10"/>
    <mergeCell ref="C9:C10"/>
    <mergeCell ref="D9:D10"/>
    <mergeCell ref="E9:E10"/>
  </mergeCells>
  <printOptions horizontalCentered="1"/>
  <pageMargins left="0.44" right="0.25" top="0.39" bottom="0.41" header="0.31496062992125984" footer="0.31496062992125984"/>
  <pageSetup paperSize="9" scale="74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44"/>
  <sheetViews>
    <sheetView showGridLines="0" view="pageBreakPreview" topLeftCell="A13" zoomScale="60" zoomScaleNormal="100" workbookViewId="0">
      <selection activeCell="B5" sqref="B5"/>
    </sheetView>
  </sheetViews>
  <sheetFormatPr baseColWidth="10" defaultRowHeight="15" x14ac:dyDescent="0.25"/>
  <cols>
    <col min="1" max="1" width="3.5703125" customWidth="1"/>
    <col min="2" max="2" width="13.140625" customWidth="1"/>
    <col min="3" max="3" width="24.42578125" bestFit="1" customWidth="1"/>
    <col min="4" max="4" width="10.140625" customWidth="1"/>
    <col min="5" max="6" width="9.85546875" customWidth="1"/>
    <col min="7" max="7" width="8.85546875" customWidth="1"/>
    <col min="8" max="8" width="10.85546875" customWidth="1"/>
    <col min="9" max="9" width="13.140625" customWidth="1"/>
    <col min="10" max="10" width="14" customWidth="1"/>
    <col min="11" max="11" width="9.5703125" customWidth="1"/>
    <col min="12" max="12" width="9.42578125" customWidth="1"/>
    <col min="14" max="14" width="10.5703125" customWidth="1"/>
    <col min="16" max="16" width="13.42578125" customWidth="1"/>
    <col min="253" max="253" width="3.5703125" customWidth="1"/>
    <col min="254" max="254" width="13.140625" customWidth="1"/>
    <col min="255" max="255" width="24.42578125" bestFit="1" customWidth="1"/>
    <col min="256" max="256" width="10.140625" customWidth="1"/>
    <col min="257" max="258" width="9.85546875" customWidth="1"/>
    <col min="259" max="259" width="8.85546875" customWidth="1"/>
    <col min="260" max="260" width="10.85546875" customWidth="1"/>
    <col min="261" max="261" width="13.140625" customWidth="1"/>
    <col min="262" max="262" width="14" customWidth="1"/>
    <col min="263" max="263" width="9.5703125" customWidth="1"/>
    <col min="264" max="264" width="9.42578125" customWidth="1"/>
    <col min="266" max="266" width="10.5703125" customWidth="1"/>
    <col min="268" max="268" width="13.42578125" customWidth="1"/>
    <col min="269" max="269" width="9.85546875" customWidth="1"/>
    <col min="270" max="270" width="8.42578125" customWidth="1"/>
    <col min="271" max="271" width="5.85546875" customWidth="1"/>
    <col min="509" max="509" width="3.5703125" customWidth="1"/>
    <col min="510" max="510" width="13.140625" customWidth="1"/>
    <col min="511" max="511" width="24.42578125" bestFit="1" customWidth="1"/>
    <col min="512" max="512" width="10.140625" customWidth="1"/>
    <col min="513" max="514" width="9.85546875" customWidth="1"/>
    <col min="515" max="515" width="8.85546875" customWidth="1"/>
    <col min="516" max="516" width="10.85546875" customWidth="1"/>
    <col min="517" max="517" width="13.140625" customWidth="1"/>
    <col min="518" max="518" width="14" customWidth="1"/>
    <col min="519" max="519" width="9.5703125" customWidth="1"/>
    <col min="520" max="520" width="9.42578125" customWidth="1"/>
    <col min="522" max="522" width="10.5703125" customWidth="1"/>
    <col min="524" max="524" width="13.42578125" customWidth="1"/>
    <col min="525" max="525" width="9.85546875" customWidth="1"/>
    <col min="526" max="526" width="8.42578125" customWidth="1"/>
    <col min="527" max="527" width="5.85546875" customWidth="1"/>
    <col min="765" max="765" width="3.5703125" customWidth="1"/>
    <col min="766" max="766" width="13.140625" customWidth="1"/>
    <col min="767" max="767" width="24.42578125" bestFit="1" customWidth="1"/>
    <col min="768" max="768" width="10.140625" customWidth="1"/>
    <col min="769" max="770" width="9.85546875" customWidth="1"/>
    <col min="771" max="771" width="8.85546875" customWidth="1"/>
    <col min="772" max="772" width="10.85546875" customWidth="1"/>
    <col min="773" max="773" width="13.140625" customWidth="1"/>
    <col min="774" max="774" width="14" customWidth="1"/>
    <col min="775" max="775" width="9.5703125" customWidth="1"/>
    <col min="776" max="776" width="9.42578125" customWidth="1"/>
    <col min="778" max="778" width="10.5703125" customWidth="1"/>
    <col min="780" max="780" width="13.42578125" customWidth="1"/>
    <col min="781" max="781" width="9.85546875" customWidth="1"/>
    <col min="782" max="782" width="8.42578125" customWidth="1"/>
    <col min="783" max="783" width="5.85546875" customWidth="1"/>
    <col min="1021" max="1021" width="3.5703125" customWidth="1"/>
    <col min="1022" max="1022" width="13.140625" customWidth="1"/>
    <col min="1023" max="1023" width="24.42578125" bestFit="1" customWidth="1"/>
    <col min="1024" max="1024" width="10.140625" customWidth="1"/>
    <col min="1025" max="1026" width="9.85546875" customWidth="1"/>
    <col min="1027" max="1027" width="8.85546875" customWidth="1"/>
    <col min="1028" max="1028" width="10.85546875" customWidth="1"/>
    <col min="1029" max="1029" width="13.140625" customWidth="1"/>
    <col min="1030" max="1030" width="14" customWidth="1"/>
    <col min="1031" max="1031" width="9.5703125" customWidth="1"/>
    <col min="1032" max="1032" width="9.42578125" customWidth="1"/>
    <col min="1034" max="1034" width="10.5703125" customWidth="1"/>
    <col min="1036" max="1036" width="13.42578125" customWidth="1"/>
    <col min="1037" max="1037" width="9.85546875" customWidth="1"/>
    <col min="1038" max="1038" width="8.42578125" customWidth="1"/>
    <col min="1039" max="1039" width="5.85546875" customWidth="1"/>
    <col min="1277" max="1277" width="3.5703125" customWidth="1"/>
    <col min="1278" max="1278" width="13.140625" customWidth="1"/>
    <col min="1279" max="1279" width="24.42578125" bestFit="1" customWidth="1"/>
    <col min="1280" max="1280" width="10.140625" customWidth="1"/>
    <col min="1281" max="1282" width="9.85546875" customWidth="1"/>
    <col min="1283" max="1283" width="8.85546875" customWidth="1"/>
    <col min="1284" max="1284" width="10.85546875" customWidth="1"/>
    <col min="1285" max="1285" width="13.140625" customWidth="1"/>
    <col min="1286" max="1286" width="14" customWidth="1"/>
    <col min="1287" max="1287" width="9.5703125" customWidth="1"/>
    <col min="1288" max="1288" width="9.42578125" customWidth="1"/>
    <col min="1290" max="1290" width="10.5703125" customWidth="1"/>
    <col min="1292" max="1292" width="13.42578125" customWidth="1"/>
    <col min="1293" max="1293" width="9.85546875" customWidth="1"/>
    <col min="1294" max="1294" width="8.42578125" customWidth="1"/>
    <col min="1295" max="1295" width="5.85546875" customWidth="1"/>
    <col min="1533" max="1533" width="3.5703125" customWidth="1"/>
    <col min="1534" max="1534" width="13.140625" customWidth="1"/>
    <col min="1535" max="1535" width="24.42578125" bestFit="1" customWidth="1"/>
    <col min="1536" max="1536" width="10.140625" customWidth="1"/>
    <col min="1537" max="1538" width="9.85546875" customWidth="1"/>
    <col min="1539" max="1539" width="8.85546875" customWidth="1"/>
    <col min="1540" max="1540" width="10.85546875" customWidth="1"/>
    <col min="1541" max="1541" width="13.140625" customWidth="1"/>
    <col min="1542" max="1542" width="14" customWidth="1"/>
    <col min="1543" max="1543" width="9.5703125" customWidth="1"/>
    <col min="1544" max="1544" width="9.42578125" customWidth="1"/>
    <col min="1546" max="1546" width="10.5703125" customWidth="1"/>
    <col min="1548" max="1548" width="13.42578125" customWidth="1"/>
    <col min="1549" max="1549" width="9.85546875" customWidth="1"/>
    <col min="1550" max="1550" width="8.42578125" customWidth="1"/>
    <col min="1551" max="1551" width="5.85546875" customWidth="1"/>
    <col min="1789" max="1789" width="3.5703125" customWidth="1"/>
    <col min="1790" max="1790" width="13.140625" customWidth="1"/>
    <col min="1791" max="1791" width="24.42578125" bestFit="1" customWidth="1"/>
    <col min="1792" max="1792" width="10.140625" customWidth="1"/>
    <col min="1793" max="1794" width="9.85546875" customWidth="1"/>
    <col min="1795" max="1795" width="8.85546875" customWidth="1"/>
    <col min="1796" max="1796" width="10.85546875" customWidth="1"/>
    <col min="1797" max="1797" width="13.140625" customWidth="1"/>
    <col min="1798" max="1798" width="14" customWidth="1"/>
    <col min="1799" max="1799" width="9.5703125" customWidth="1"/>
    <col min="1800" max="1800" width="9.42578125" customWidth="1"/>
    <col min="1802" max="1802" width="10.5703125" customWidth="1"/>
    <col min="1804" max="1804" width="13.42578125" customWidth="1"/>
    <col min="1805" max="1805" width="9.85546875" customWidth="1"/>
    <col min="1806" max="1806" width="8.42578125" customWidth="1"/>
    <col min="1807" max="1807" width="5.85546875" customWidth="1"/>
    <col min="2045" max="2045" width="3.5703125" customWidth="1"/>
    <col min="2046" max="2046" width="13.140625" customWidth="1"/>
    <col min="2047" max="2047" width="24.42578125" bestFit="1" customWidth="1"/>
    <col min="2048" max="2048" width="10.140625" customWidth="1"/>
    <col min="2049" max="2050" width="9.85546875" customWidth="1"/>
    <col min="2051" max="2051" width="8.85546875" customWidth="1"/>
    <col min="2052" max="2052" width="10.85546875" customWidth="1"/>
    <col min="2053" max="2053" width="13.140625" customWidth="1"/>
    <col min="2054" max="2054" width="14" customWidth="1"/>
    <col min="2055" max="2055" width="9.5703125" customWidth="1"/>
    <col min="2056" max="2056" width="9.42578125" customWidth="1"/>
    <col min="2058" max="2058" width="10.5703125" customWidth="1"/>
    <col min="2060" max="2060" width="13.42578125" customWidth="1"/>
    <col min="2061" max="2061" width="9.85546875" customWidth="1"/>
    <col min="2062" max="2062" width="8.42578125" customWidth="1"/>
    <col min="2063" max="2063" width="5.85546875" customWidth="1"/>
    <col min="2301" max="2301" width="3.5703125" customWidth="1"/>
    <col min="2302" max="2302" width="13.140625" customWidth="1"/>
    <col min="2303" max="2303" width="24.42578125" bestFit="1" customWidth="1"/>
    <col min="2304" max="2304" width="10.140625" customWidth="1"/>
    <col min="2305" max="2306" width="9.85546875" customWidth="1"/>
    <col min="2307" max="2307" width="8.85546875" customWidth="1"/>
    <col min="2308" max="2308" width="10.85546875" customWidth="1"/>
    <col min="2309" max="2309" width="13.140625" customWidth="1"/>
    <col min="2310" max="2310" width="14" customWidth="1"/>
    <col min="2311" max="2311" width="9.5703125" customWidth="1"/>
    <col min="2312" max="2312" width="9.42578125" customWidth="1"/>
    <col min="2314" max="2314" width="10.5703125" customWidth="1"/>
    <col min="2316" max="2316" width="13.42578125" customWidth="1"/>
    <col min="2317" max="2317" width="9.85546875" customWidth="1"/>
    <col min="2318" max="2318" width="8.42578125" customWidth="1"/>
    <col min="2319" max="2319" width="5.85546875" customWidth="1"/>
    <col min="2557" max="2557" width="3.5703125" customWidth="1"/>
    <col min="2558" max="2558" width="13.140625" customWidth="1"/>
    <col min="2559" max="2559" width="24.42578125" bestFit="1" customWidth="1"/>
    <col min="2560" max="2560" width="10.140625" customWidth="1"/>
    <col min="2561" max="2562" width="9.85546875" customWidth="1"/>
    <col min="2563" max="2563" width="8.85546875" customWidth="1"/>
    <col min="2564" max="2564" width="10.85546875" customWidth="1"/>
    <col min="2565" max="2565" width="13.140625" customWidth="1"/>
    <col min="2566" max="2566" width="14" customWidth="1"/>
    <col min="2567" max="2567" width="9.5703125" customWidth="1"/>
    <col min="2568" max="2568" width="9.42578125" customWidth="1"/>
    <col min="2570" max="2570" width="10.5703125" customWidth="1"/>
    <col min="2572" max="2572" width="13.42578125" customWidth="1"/>
    <col min="2573" max="2573" width="9.85546875" customWidth="1"/>
    <col min="2574" max="2574" width="8.42578125" customWidth="1"/>
    <col min="2575" max="2575" width="5.85546875" customWidth="1"/>
    <col min="2813" max="2813" width="3.5703125" customWidth="1"/>
    <col min="2814" max="2814" width="13.140625" customWidth="1"/>
    <col min="2815" max="2815" width="24.42578125" bestFit="1" customWidth="1"/>
    <col min="2816" max="2816" width="10.140625" customWidth="1"/>
    <col min="2817" max="2818" width="9.85546875" customWidth="1"/>
    <col min="2819" max="2819" width="8.85546875" customWidth="1"/>
    <col min="2820" max="2820" width="10.85546875" customWidth="1"/>
    <col min="2821" max="2821" width="13.140625" customWidth="1"/>
    <col min="2822" max="2822" width="14" customWidth="1"/>
    <col min="2823" max="2823" width="9.5703125" customWidth="1"/>
    <col min="2824" max="2824" width="9.42578125" customWidth="1"/>
    <col min="2826" max="2826" width="10.5703125" customWidth="1"/>
    <col min="2828" max="2828" width="13.42578125" customWidth="1"/>
    <col min="2829" max="2829" width="9.85546875" customWidth="1"/>
    <col min="2830" max="2830" width="8.42578125" customWidth="1"/>
    <col min="2831" max="2831" width="5.85546875" customWidth="1"/>
    <col min="3069" max="3069" width="3.5703125" customWidth="1"/>
    <col min="3070" max="3070" width="13.140625" customWidth="1"/>
    <col min="3071" max="3071" width="24.42578125" bestFit="1" customWidth="1"/>
    <col min="3072" max="3072" width="10.140625" customWidth="1"/>
    <col min="3073" max="3074" width="9.85546875" customWidth="1"/>
    <col min="3075" max="3075" width="8.85546875" customWidth="1"/>
    <col min="3076" max="3076" width="10.85546875" customWidth="1"/>
    <col min="3077" max="3077" width="13.140625" customWidth="1"/>
    <col min="3078" max="3078" width="14" customWidth="1"/>
    <col min="3079" max="3079" width="9.5703125" customWidth="1"/>
    <col min="3080" max="3080" width="9.42578125" customWidth="1"/>
    <col min="3082" max="3082" width="10.5703125" customWidth="1"/>
    <col min="3084" max="3084" width="13.42578125" customWidth="1"/>
    <col min="3085" max="3085" width="9.85546875" customWidth="1"/>
    <col min="3086" max="3086" width="8.42578125" customWidth="1"/>
    <col min="3087" max="3087" width="5.85546875" customWidth="1"/>
    <col min="3325" max="3325" width="3.5703125" customWidth="1"/>
    <col min="3326" max="3326" width="13.140625" customWidth="1"/>
    <col min="3327" max="3327" width="24.42578125" bestFit="1" customWidth="1"/>
    <col min="3328" max="3328" width="10.140625" customWidth="1"/>
    <col min="3329" max="3330" width="9.85546875" customWidth="1"/>
    <col min="3331" max="3331" width="8.85546875" customWidth="1"/>
    <col min="3332" max="3332" width="10.85546875" customWidth="1"/>
    <col min="3333" max="3333" width="13.140625" customWidth="1"/>
    <col min="3334" max="3334" width="14" customWidth="1"/>
    <col min="3335" max="3335" width="9.5703125" customWidth="1"/>
    <col min="3336" max="3336" width="9.42578125" customWidth="1"/>
    <col min="3338" max="3338" width="10.5703125" customWidth="1"/>
    <col min="3340" max="3340" width="13.42578125" customWidth="1"/>
    <col min="3341" max="3341" width="9.85546875" customWidth="1"/>
    <col min="3342" max="3342" width="8.42578125" customWidth="1"/>
    <col min="3343" max="3343" width="5.85546875" customWidth="1"/>
    <col min="3581" max="3581" width="3.5703125" customWidth="1"/>
    <col min="3582" max="3582" width="13.140625" customWidth="1"/>
    <col min="3583" max="3583" width="24.42578125" bestFit="1" customWidth="1"/>
    <col min="3584" max="3584" width="10.140625" customWidth="1"/>
    <col min="3585" max="3586" width="9.85546875" customWidth="1"/>
    <col min="3587" max="3587" width="8.85546875" customWidth="1"/>
    <col min="3588" max="3588" width="10.85546875" customWidth="1"/>
    <col min="3589" max="3589" width="13.140625" customWidth="1"/>
    <col min="3590" max="3590" width="14" customWidth="1"/>
    <col min="3591" max="3591" width="9.5703125" customWidth="1"/>
    <col min="3592" max="3592" width="9.42578125" customWidth="1"/>
    <col min="3594" max="3594" width="10.5703125" customWidth="1"/>
    <col min="3596" max="3596" width="13.42578125" customWidth="1"/>
    <col min="3597" max="3597" width="9.85546875" customWidth="1"/>
    <col min="3598" max="3598" width="8.42578125" customWidth="1"/>
    <col min="3599" max="3599" width="5.85546875" customWidth="1"/>
    <col min="3837" max="3837" width="3.5703125" customWidth="1"/>
    <col min="3838" max="3838" width="13.140625" customWidth="1"/>
    <col min="3839" max="3839" width="24.42578125" bestFit="1" customWidth="1"/>
    <col min="3840" max="3840" width="10.140625" customWidth="1"/>
    <col min="3841" max="3842" width="9.85546875" customWidth="1"/>
    <col min="3843" max="3843" width="8.85546875" customWidth="1"/>
    <col min="3844" max="3844" width="10.85546875" customWidth="1"/>
    <col min="3845" max="3845" width="13.140625" customWidth="1"/>
    <col min="3846" max="3846" width="14" customWidth="1"/>
    <col min="3847" max="3847" width="9.5703125" customWidth="1"/>
    <col min="3848" max="3848" width="9.42578125" customWidth="1"/>
    <col min="3850" max="3850" width="10.5703125" customWidth="1"/>
    <col min="3852" max="3852" width="13.42578125" customWidth="1"/>
    <col min="3853" max="3853" width="9.85546875" customWidth="1"/>
    <col min="3854" max="3854" width="8.42578125" customWidth="1"/>
    <col min="3855" max="3855" width="5.85546875" customWidth="1"/>
    <col min="4093" max="4093" width="3.5703125" customWidth="1"/>
    <col min="4094" max="4094" width="13.140625" customWidth="1"/>
    <col min="4095" max="4095" width="24.42578125" bestFit="1" customWidth="1"/>
    <col min="4096" max="4096" width="10.140625" customWidth="1"/>
    <col min="4097" max="4098" width="9.85546875" customWidth="1"/>
    <col min="4099" max="4099" width="8.85546875" customWidth="1"/>
    <col min="4100" max="4100" width="10.85546875" customWidth="1"/>
    <col min="4101" max="4101" width="13.140625" customWidth="1"/>
    <col min="4102" max="4102" width="14" customWidth="1"/>
    <col min="4103" max="4103" width="9.5703125" customWidth="1"/>
    <col min="4104" max="4104" width="9.42578125" customWidth="1"/>
    <col min="4106" max="4106" width="10.5703125" customWidth="1"/>
    <col min="4108" max="4108" width="13.42578125" customWidth="1"/>
    <col min="4109" max="4109" width="9.85546875" customWidth="1"/>
    <col min="4110" max="4110" width="8.42578125" customWidth="1"/>
    <col min="4111" max="4111" width="5.85546875" customWidth="1"/>
    <col min="4349" max="4349" width="3.5703125" customWidth="1"/>
    <col min="4350" max="4350" width="13.140625" customWidth="1"/>
    <col min="4351" max="4351" width="24.42578125" bestFit="1" customWidth="1"/>
    <col min="4352" max="4352" width="10.140625" customWidth="1"/>
    <col min="4353" max="4354" width="9.85546875" customWidth="1"/>
    <col min="4355" max="4355" width="8.85546875" customWidth="1"/>
    <col min="4356" max="4356" width="10.85546875" customWidth="1"/>
    <col min="4357" max="4357" width="13.140625" customWidth="1"/>
    <col min="4358" max="4358" width="14" customWidth="1"/>
    <col min="4359" max="4359" width="9.5703125" customWidth="1"/>
    <col min="4360" max="4360" width="9.42578125" customWidth="1"/>
    <col min="4362" max="4362" width="10.5703125" customWidth="1"/>
    <col min="4364" max="4364" width="13.42578125" customWidth="1"/>
    <col min="4365" max="4365" width="9.85546875" customWidth="1"/>
    <col min="4366" max="4366" width="8.42578125" customWidth="1"/>
    <col min="4367" max="4367" width="5.85546875" customWidth="1"/>
    <col min="4605" max="4605" width="3.5703125" customWidth="1"/>
    <col min="4606" max="4606" width="13.140625" customWidth="1"/>
    <col min="4607" max="4607" width="24.42578125" bestFit="1" customWidth="1"/>
    <col min="4608" max="4608" width="10.140625" customWidth="1"/>
    <col min="4609" max="4610" width="9.85546875" customWidth="1"/>
    <col min="4611" max="4611" width="8.85546875" customWidth="1"/>
    <col min="4612" max="4612" width="10.85546875" customWidth="1"/>
    <col min="4613" max="4613" width="13.140625" customWidth="1"/>
    <col min="4614" max="4614" width="14" customWidth="1"/>
    <col min="4615" max="4615" width="9.5703125" customWidth="1"/>
    <col min="4616" max="4616" width="9.42578125" customWidth="1"/>
    <col min="4618" max="4618" width="10.5703125" customWidth="1"/>
    <col min="4620" max="4620" width="13.42578125" customWidth="1"/>
    <col min="4621" max="4621" width="9.85546875" customWidth="1"/>
    <col min="4622" max="4622" width="8.42578125" customWidth="1"/>
    <col min="4623" max="4623" width="5.85546875" customWidth="1"/>
    <col min="4861" max="4861" width="3.5703125" customWidth="1"/>
    <col min="4862" max="4862" width="13.140625" customWidth="1"/>
    <col min="4863" max="4863" width="24.42578125" bestFit="1" customWidth="1"/>
    <col min="4864" max="4864" width="10.140625" customWidth="1"/>
    <col min="4865" max="4866" width="9.85546875" customWidth="1"/>
    <col min="4867" max="4867" width="8.85546875" customWidth="1"/>
    <col min="4868" max="4868" width="10.85546875" customWidth="1"/>
    <col min="4869" max="4869" width="13.140625" customWidth="1"/>
    <col min="4870" max="4870" width="14" customWidth="1"/>
    <col min="4871" max="4871" width="9.5703125" customWidth="1"/>
    <col min="4872" max="4872" width="9.42578125" customWidth="1"/>
    <col min="4874" max="4874" width="10.5703125" customWidth="1"/>
    <col min="4876" max="4876" width="13.42578125" customWidth="1"/>
    <col min="4877" max="4877" width="9.85546875" customWidth="1"/>
    <col min="4878" max="4878" width="8.42578125" customWidth="1"/>
    <col min="4879" max="4879" width="5.85546875" customWidth="1"/>
    <col min="5117" max="5117" width="3.5703125" customWidth="1"/>
    <col min="5118" max="5118" width="13.140625" customWidth="1"/>
    <col min="5119" max="5119" width="24.42578125" bestFit="1" customWidth="1"/>
    <col min="5120" max="5120" width="10.140625" customWidth="1"/>
    <col min="5121" max="5122" width="9.85546875" customWidth="1"/>
    <col min="5123" max="5123" width="8.85546875" customWidth="1"/>
    <col min="5124" max="5124" width="10.85546875" customWidth="1"/>
    <col min="5125" max="5125" width="13.140625" customWidth="1"/>
    <col min="5126" max="5126" width="14" customWidth="1"/>
    <col min="5127" max="5127" width="9.5703125" customWidth="1"/>
    <col min="5128" max="5128" width="9.42578125" customWidth="1"/>
    <col min="5130" max="5130" width="10.5703125" customWidth="1"/>
    <col min="5132" max="5132" width="13.42578125" customWidth="1"/>
    <col min="5133" max="5133" width="9.85546875" customWidth="1"/>
    <col min="5134" max="5134" width="8.42578125" customWidth="1"/>
    <col min="5135" max="5135" width="5.85546875" customWidth="1"/>
    <col min="5373" max="5373" width="3.5703125" customWidth="1"/>
    <col min="5374" max="5374" width="13.140625" customWidth="1"/>
    <col min="5375" max="5375" width="24.42578125" bestFit="1" customWidth="1"/>
    <col min="5376" max="5376" width="10.140625" customWidth="1"/>
    <col min="5377" max="5378" width="9.85546875" customWidth="1"/>
    <col min="5379" max="5379" width="8.85546875" customWidth="1"/>
    <col min="5380" max="5380" width="10.85546875" customWidth="1"/>
    <col min="5381" max="5381" width="13.140625" customWidth="1"/>
    <col min="5382" max="5382" width="14" customWidth="1"/>
    <col min="5383" max="5383" width="9.5703125" customWidth="1"/>
    <col min="5384" max="5384" width="9.42578125" customWidth="1"/>
    <col min="5386" max="5386" width="10.5703125" customWidth="1"/>
    <col min="5388" max="5388" width="13.42578125" customWidth="1"/>
    <col min="5389" max="5389" width="9.85546875" customWidth="1"/>
    <col min="5390" max="5390" width="8.42578125" customWidth="1"/>
    <col min="5391" max="5391" width="5.85546875" customWidth="1"/>
    <col min="5629" max="5629" width="3.5703125" customWidth="1"/>
    <col min="5630" max="5630" width="13.140625" customWidth="1"/>
    <col min="5631" max="5631" width="24.42578125" bestFit="1" customWidth="1"/>
    <col min="5632" max="5632" width="10.140625" customWidth="1"/>
    <col min="5633" max="5634" width="9.85546875" customWidth="1"/>
    <col min="5635" max="5635" width="8.85546875" customWidth="1"/>
    <col min="5636" max="5636" width="10.85546875" customWidth="1"/>
    <col min="5637" max="5637" width="13.140625" customWidth="1"/>
    <col min="5638" max="5638" width="14" customWidth="1"/>
    <col min="5639" max="5639" width="9.5703125" customWidth="1"/>
    <col min="5640" max="5640" width="9.42578125" customWidth="1"/>
    <col min="5642" max="5642" width="10.5703125" customWidth="1"/>
    <col min="5644" max="5644" width="13.42578125" customWidth="1"/>
    <col min="5645" max="5645" width="9.85546875" customWidth="1"/>
    <col min="5646" max="5646" width="8.42578125" customWidth="1"/>
    <col min="5647" max="5647" width="5.85546875" customWidth="1"/>
    <col min="5885" max="5885" width="3.5703125" customWidth="1"/>
    <col min="5886" max="5886" width="13.140625" customWidth="1"/>
    <col min="5887" max="5887" width="24.42578125" bestFit="1" customWidth="1"/>
    <col min="5888" max="5888" width="10.140625" customWidth="1"/>
    <col min="5889" max="5890" width="9.85546875" customWidth="1"/>
    <col min="5891" max="5891" width="8.85546875" customWidth="1"/>
    <col min="5892" max="5892" width="10.85546875" customWidth="1"/>
    <col min="5893" max="5893" width="13.140625" customWidth="1"/>
    <col min="5894" max="5894" width="14" customWidth="1"/>
    <col min="5895" max="5895" width="9.5703125" customWidth="1"/>
    <col min="5896" max="5896" width="9.42578125" customWidth="1"/>
    <col min="5898" max="5898" width="10.5703125" customWidth="1"/>
    <col min="5900" max="5900" width="13.42578125" customWidth="1"/>
    <col min="5901" max="5901" width="9.85546875" customWidth="1"/>
    <col min="5902" max="5902" width="8.42578125" customWidth="1"/>
    <col min="5903" max="5903" width="5.85546875" customWidth="1"/>
    <col min="6141" max="6141" width="3.5703125" customWidth="1"/>
    <col min="6142" max="6142" width="13.140625" customWidth="1"/>
    <col min="6143" max="6143" width="24.42578125" bestFit="1" customWidth="1"/>
    <col min="6144" max="6144" width="10.140625" customWidth="1"/>
    <col min="6145" max="6146" width="9.85546875" customWidth="1"/>
    <col min="6147" max="6147" width="8.85546875" customWidth="1"/>
    <col min="6148" max="6148" width="10.85546875" customWidth="1"/>
    <col min="6149" max="6149" width="13.140625" customWidth="1"/>
    <col min="6150" max="6150" width="14" customWidth="1"/>
    <col min="6151" max="6151" width="9.5703125" customWidth="1"/>
    <col min="6152" max="6152" width="9.42578125" customWidth="1"/>
    <col min="6154" max="6154" width="10.5703125" customWidth="1"/>
    <col min="6156" max="6156" width="13.42578125" customWidth="1"/>
    <col min="6157" max="6157" width="9.85546875" customWidth="1"/>
    <col min="6158" max="6158" width="8.42578125" customWidth="1"/>
    <col min="6159" max="6159" width="5.85546875" customWidth="1"/>
    <col min="6397" max="6397" width="3.5703125" customWidth="1"/>
    <col min="6398" max="6398" width="13.140625" customWidth="1"/>
    <col min="6399" max="6399" width="24.42578125" bestFit="1" customWidth="1"/>
    <col min="6400" max="6400" width="10.140625" customWidth="1"/>
    <col min="6401" max="6402" width="9.85546875" customWidth="1"/>
    <col min="6403" max="6403" width="8.85546875" customWidth="1"/>
    <col min="6404" max="6404" width="10.85546875" customWidth="1"/>
    <col min="6405" max="6405" width="13.140625" customWidth="1"/>
    <col min="6406" max="6406" width="14" customWidth="1"/>
    <col min="6407" max="6407" width="9.5703125" customWidth="1"/>
    <col min="6408" max="6408" width="9.42578125" customWidth="1"/>
    <col min="6410" max="6410" width="10.5703125" customWidth="1"/>
    <col min="6412" max="6412" width="13.42578125" customWidth="1"/>
    <col min="6413" max="6413" width="9.85546875" customWidth="1"/>
    <col min="6414" max="6414" width="8.42578125" customWidth="1"/>
    <col min="6415" max="6415" width="5.85546875" customWidth="1"/>
    <col min="6653" max="6653" width="3.5703125" customWidth="1"/>
    <col min="6654" max="6654" width="13.140625" customWidth="1"/>
    <col min="6655" max="6655" width="24.42578125" bestFit="1" customWidth="1"/>
    <col min="6656" max="6656" width="10.140625" customWidth="1"/>
    <col min="6657" max="6658" width="9.85546875" customWidth="1"/>
    <col min="6659" max="6659" width="8.85546875" customWidth="1"/>
    <col min="6660" max="6660" width="10.85546875" customWidth="1"/>
    <col min="6661" max="6661" width="13.140625" customWidth="1"/>
    <col min="6662" max="6662" width="14" customWidth="1"/>
    <col min="6663" max="6663" width="9.5703125" customWidth="1"/>
    <col min="6664" max="6664" width="9.42578125" customWidth="1"/>
    <col min="6666" max="6666" width="10.5703125" customWidth="1"/>
    <col min="6668" max="6668" width="13.42578125" customWidth="1"/>
    <col min="6669" max="6669" width="9.85546875" customWidth="1"/>
    <col min="6670" max="6670" width="8.42578125" customWidth="1"/>
    <col min="6671" max="6671" width="5.85546875" customWidth="1"/>
    <col min="6909" max="6909" width="3.5703125" customWidth="1"/>
    <col min="6910" max="6910" width="13.140625" customWidth="1"/>
    <col min="6911" max="6911" width="24.42578125" bestFit="1" customWidth="1"/>
    <col min="6912" max="6912" width="10.140625" customWidth="1"/>
    <col min="6913" max="6914" width="9.85546875" customWidth="1"/>
    <col min="6915" max="6915" width="8.85546875" customWidth="1"/>
    <col min="6916" max="6916" width="10.85546875" customWidth="1"/>
    <col min="6917" max="6917" width="13.140625" customWidth="1"/>
    <col min="6918" max="6918" width="14" customWidth="1"/>
    <col min="6919" max="6919" width="9.5703125" customWidth="1"/>
    <col min="6920" max="6920" width="9.42578125" customWidth="1"/>
    <col min="6922" max="6922" width="10.5703125" customWidth="1"/>
    <col min="6924" max="6924" width="13.42578125" customWidth="1"/>
    <col min="6925" max="6925" width="9.85546875" customWidth="1"/>
    <col min="6926" max="6926" width="8.42578125" customWidth="1"/>
    <col min="6927" max="6927" width="5.85546875" customWidth="1"/>
    <col min="7165" max="7165" width="3.5703125" customWidth="1"/>
    <col min="7166" max="7166" width="13.140625" customWidth="1"/>
    <col min="7167" max="7167" width="24.42578125" bestFit="1" customWidth="1"/>
    <col min="7168" max="7168" width="10.140625" customWidth="1"/>
    <col min="7169" max="7170" width="9.85546875" customWidth="1"/>
    <col min="7171" max="7171" width="8.85546875" customWidth="1"/>
    <col min="7172" max="7172" width="10.85546875" customWidth="1"/>
    <col min="7173" max="7173" width="13.140625" customWidth="1"/>
    <col min="7174" max="7174" width="14" customWidth="1"/>
    <col min="7175" max="7175" width="9.5703125" customWidth="1"/>
    <col min="7176" max="7176" width="9.42578125" customWidth="1"/>
    <col min="7178" max="7178" width="10.5703125" customWidth="1"/>
    <col min="7180" max="7180" width="13.42578125" customWidth="1"/>
    <col min="7181" max="7181" width="9.85546875" customWidth="1"/>
    <col min="7182" max="7182" width="8.42578125" customWidth="1"/>
    <col min="7183" max="7183" width="5.85546875" customWidth="1"/>
    <col min="7421" max="7421" width="3.5703125" customWidth="1"/>
    <col min="7422" max="7422" width="13.140625" customWidth="1"/>
    <col min="7423" max="7423" width="24.42578125" bestFit="1" customWidth="1"/>
    <col min="7424" max="7424" width="10.140625" customWidth="1"/>
    <col min="7425" max="7426" width="9.85546875" customWidth="1"/>
    <col min="7427" max="7427" width="8.85546875" customWidth="1"/>
    <col min="7428" max="7428" width="10.85546875" customWidth="1"/>
    <col min="7429" max="7429" width="13.140625" customWidth="1"/>
    <col min="7430" max="7430" width="14" customWidth="1"/>
    <col min="7431" max="7431" width="9.5703125" customWidth="1"/>
    <col min="7432" max="7432" width="9.42578125" customWidth="1"/>
    <col min="7434" max="7434" width="10.5703125" customWidth="1"/>
    <col min="7436" max="7436" width="13.42578125" customWidth="1"/>
    <col min="7437" max="7437" width="9.85546875" customWidth="1"/>
    <col min="7438" max="7438" width="8.42578125" customWidth="1"/>
    <col min="7439" max="7439" width="5.85546875" customWidth="1"/>
    <col min="7677" max="7677" width="3.5703125" customWidth="1"/>
    <col min="7678" max="7678" width="13.140625" customWidth="1"/>
    <col min="7679" max="7679" width="24.42578125" bestFit="1" customWidth="1"/>
    <col min="7680" max="7680" width="10.140625" customWidth="1"/>
    <col min="7681" max="7682" width="9.85546875" customWidth="1"/>
    <col min="7683" max="7683" width="8.85546875" customWidth="1"/>
    <col min="7684" max="7684" width="10.85546875" customWidth="1"/>
    <col min="7685" max="7685" width="13.140625" customWidth="1"/>
    <col min="7686" max="7686" width="14" customWidth="1"/>
    <col min="7687" max="7687" width="9.5703125" customWidth="1"/>
    <col min="7688" max="7688" width="9.42578125" customWidth="1"/>
    <col min="7690" max="7690" width="10.5703125" customWidth="1"/>
    <col min="7692" max="7692" width="13.42578125" customWidth="1"/>
    <col min="7693" max="7693" width="9.85546875" customWidth="1"/>
    <col min="7694" max="7694" width="8.42578125" customWidth="1"/>
    <col min="7695" max="7695" width="5.85546875" customWidth="1"/>
    <col min="7933" max="7933" width="3.5703125" customWidth="1"/>
    <col min="7934" max="7934" width="13.140625" customWidth="1"/>
    <col min="7935" max="7935" width="24.42578125" bestFit="1" customWidth="1"/>
    <col min="7936" max="7936" width="10.140625" customWidth="1"/>
    <col min="7937" max="7938" width="9.85546875" customWidth="1"/>
    <col min="7939" max="7939" width="8.85546875" customWidth="1"/>
    <col min="7940" max="7940" width="10.85546875" customWidth="1"/>
    <col min="7941" max="7941" width="13.140625" customWidth="1"/>
    <col min="7942" max="7942" width="14" customWidth="1"/>
    <col min="7943" max="7943" width="9.5703125" customWidth="1"/>
    <col min="7944" max="7944" width="9.42578125" customWidth="1"/>
    <col min="7946" max="7946" width="10.5703125" customWidth="1"/>
    <col min="7948" max="7948" width="13.42578125" customWidth="1"/>
    <col min="7949" max="7949" width="9.85546875" customWidth="1"/>
    <col min="7950" max="7950" width="8.42578125" customWidth="1"/>
    <col min="7951" max="7951" width="5.85546875" customWidth="1"/>
    <col min="8189" max="8189" width="3.5703125" customWidth="1"/>
    <col min="8190" max="8190" width="13.140625" customWidth="1"/>
    <col min="8191" max="8191" width="24.42578125" bestFit="1" customWidth="1"/>
    <col min="8192" max="8192" width="10.140625" customWidth="1"/>
    <col min="8193" max="8194" width="9.85546875" customWidth="1"/>
    <col min="8195" max="8195" width="8.85546875" customWidth="1"/>
    <col min="8196" max="8196" width="10.85546875" customWidth="1"/>
    <col min="8197" max="8197" width="13.140625" customWidth="1"/>
    <col min="8198" max="8198" width="14" customWidth="1"/>
    <col min="8199" max="8199" width="9.5703125" customWidth="1"/>
    <col min="8200" max="8200" width="9.42578125" customWidth="1"/>
    <col min="8202" max="8202" width="10.5703125" customWidth="1"/>
    <col min="8204" max="8204" width="13.42578125" customWidth="1"/>
    <col min="8205" max="8205" width="9.85546875" customWidth="1"/>
    <col min="8206" max="8206" width="8.42578125" customWidth="1"/>
    <col min="8207" max="8207" width="5.85546875" customWidth="1"/>
    <col min="8445" max="8445" width="3.5703125" customWidth="1"/>
    <col min="8446" max="8446" width="13.140625" customWidth="1"/>
    <col min="8447" max="8447" width="24.42578125" bestFit="1" customWidth="1"/>
    <col min="8448" max="8448" width="10.140625" customWidth="1"/>
    <col min="8449" max="8450" width="9.85546875" customWidth="1"/>
    <col min="8451" max="8451" width="8.85546875" customWidth="1"/>
    <col min="8452" max="8452" width="10.85546875" customWidth="1"/>
    <col min="8453" max="8453" width="13.140625" customWidth="1"/>
    <col min="8454" max="8454" width="14" customWidth="1"/>
    <col min="8455" max="8455" width="9.5703125" customWidth="1"/>
    <col min="8456" max="8456" width="9.42578125" customWidth="1"/>
    <col min="8458" max="8458" width="10.5703125" customWidth="1"/>
    <col min="8460" max="8460" width="13.42578125" customWidth="1"/>
    <col min="8461" max="8461" width="9.85546875" customWidth="1"/>
    <col min="8462" max="8462" width="8.42578125" customWidth="1"/>
    <col min="8463" max="8463" width="5.85546875" customWidth="1"/>
    <col min="8701" max="8701" width="3.5703125" customWidth="1"/>
    <col min="8702" max="8702" width="13.140625" customWidth="1"/>
    <col min="8703" max="8703" width="24.42578125" bestFit="1" customWidth="1"/>
    <col min="8704" max="8704" width="10.140625" customWidth="1"/>
    <col min="8705" max="8706" width="9.85546875" customWidth="1"/>
    <col min="8707" max="8707" width="8.85546875" customWidth="1"/>
    <col min="8708" max="8708" width="10.85546875" customWidth="1"/>
    <col min="8709" max="8709" width="13.140625" customWidth="1"/>
    <col min="8710" max="8710" width="14" customWidth="1"/>
    <col min="8711" max="8711" width="9.5703125" customWidth="1"/>
    <col min="8712" max="8712" width="9.42578125" customWidth="1"/>
    <col min="8714" max="8714" width="10.5703125" customWidth="1"/>
    <col min="8716" max="8716" width="13.42578125" customWidth="1"/>
    <col min="8717" max="8717" width="9.85546875" customWidth="1"/>
    <col min="8718" max="8718" width="8.42578125" customWidth="1"/>
    <col min="8719" max="8719" width="5.85546875" customWidth="1"/>
    <col min="8957" max="8957" width="3.5703125" customWidth="1"/>
    <col min="8958" max="8958" width="13.140625" customWidth="1"/>
    <col min="8959" max="8959" width="24.42578125" bestFit="1" customWidth="1"/>
    <col min="8960" max="8960" width="10.140625" customWidth="1"/>
    <col min="8961" max="8962" width="9.85546875" customWidth="1"/>
    <col min="8963" max="8963" width="8.85546875" customWidth="1"/>
    <col min="8964" max="8964" width="10.85546875" customWidth="1"/>
    <col min="8965" max="8965" width="13.140625" customWidth="1"/>
    <col min="8966" max="8966" width="14" customWidth="1"/>
    <col min="8967" max="8967" width="9.5703125" customWidth="1"/>
    <col min="8968" max="8968" width="9.42578125" customWidth="1"/>
    <col min="8970" max="8970" width="10.5703125" customWidth="1"/>
    <col min="8972" max="8972" width="13.42578125" customWidth="1"/>
    <col min="8973" max="8973" width="9.85546875" customWidth="1"/>
    <col min="8974" max="8974" width="8.42578125" customWidth="1"/>
    <col min="8975" max="8975" width="5.85546875" customWidth="1"/>
    <col min="9213" max="9213" width="3.5703125" customWidth="1"/>
    <col min="9214" max="9214" width="13.140625" customWidth="1"/>
    <col min="9215" max="9215" width="24.42578125" bestFit="1" customWidth="1"/>
    <col min="9216" max="9216" width="10.140625" customWidth="1"/>
    <col min="9217" max="9218" width="9.85546875" customWidth="1"/>
    <col min="9219" max="9219" width="8.85546875" customWidth="1"/>
    <col min="9220" max="9220" width="10.85546875" customWidth="1"/>
    <col min="9221" max="9221" width="13.140625" customWidth="1"/>
    <col min="9222" max="9222" width="14" customWidth="1"/>
    <col min="9223" max="9223" width="9.5703125" customWidth="1"/>
    <col min="9224" max="9224" width="9.42578125" customWidth="1"/>
    <col min="9226" max="9226" width="10.5703125" customWidth="1"/>
    <col min="9228" max="9228" width="13.42578125" customWidth="1"/>
    <col min="9229" max="9229" width="9.85546875" customWidth="1"/>
    <col min="9230" max="9230" width="8.42578125" customWidth="1"/>
    <col min="9231" max="9231" width="5.85546875" customWidth="1"/>
    <col min="9469" max="9469" width="3.5703125" customWidth="1"/>
    <col min="9470" max="9470" width="13.140625" customWidth="1"/>
    <col min="9471" max="9471" width="24.42578125" bestFit="1" customWidth="1"/>
    <col min="9472" max="9472" width="10.140625" customWidth="1"/>
    <col min="9473" max="9474" width="9.85546875" customWidth="1"/>
    <col min="9475" max="9475" width="8.85546875" customWidth="1"/>
    <col min="9476" max="9476" width="10.85546875" customWidth="1"/>
    <col min="9477" max="9477" width="13.140625" customWidth="1"/>
    <col min="9478" max="9478" width="14" customWidth="1"/>
    <col min="9479" max="9479" width="9.5703125" customWidth="1"/>
    <col min="9480" max="9480" width="9.42578125" customWidth="1"/>
    <col min="9482" max="9482" width="10.5703125" customWidth="1"/>
    <col min="9484" max="9484" width="13.42578125" customWidth="1"/>
    <col min="9485" max="9485" width="9.85546875" customWidth="1"/>
    <col min="9486" max="9486" width="8.42578125" customWidth="1"/>
    <col min="9487" max="9487" width="5.85546875" customWidth="1"/>
    <col min="9725" max="9725" width="3.5703125" customWidth="1"/>
    <col min="9726" max="9726" width="13.140625" customWidth="1"/>
    <col min="9727" max="9727" width="24.42578125" bestFit="1" customWidth="1"/>
    <col min="9728" max="9728" width="10.140625" customWidth="1"/>
    <col min="9729" max="9730" width="9.85546875" customWidth="1"/>
    <col min="9731" max="9731" width="8.85546875" customWidth="1"/>
    <col min="9732" max="9732" width="10.85546875" customWidth="1"/>
    <col min="9733" max="9733" width="13.140625" customWidth="1"/>
    <col min="9734" max="9734" width="14" customWidth="1"/>
    <col min="9735" max="9735" width="9.5703125" customWidth="1"/>
    <col min="9736" max="9736" width="9.42578125" customWidth="1"/>
    <col min="9738" max="9738" width="10.5703125" customWidth="1"/>
    <col min="9740" max="9740" width="13.42578125" customWidth="1"/>
    <col min="9741" max="9741" width="9.85546875" customWidth="1"/>
    <col min="9742" max="9742" width="8.42578125" customWidth="1"/>
    <col min="9743" max="9743" width="5.85546875" customWidth="1"/>
    <col min="9981" max="9981" width="3.5703125" customWidth="1"/>
    <col min="9982" max="9982" width="13.140625" customWidth="1"/>
    <col min="9983" max="9983" width="24.42578125" bestFit="1" customWidth="1"/>
    <col min="9984" max="9984" width="10.140625" customWidth="1"/>
    <col min="9985" max="9986" width="9.85546875" customWidth="1"/>
    <col min="9987" max="9987" width="8.85546875" customWidth="1"/>
    <col min="9988" max="9988" width="10.85546875" customWidth="1"/>
    <col min="9989" max="9989" width="13.140625" customWidth="1"/>
    <col min="9990" max="9990" width="14" customWidth="1"/>
    <col min="9991" max="9991" width="9.5703125" customWidth="1"/>
    <col min="9992" max="9992" width="9.42578125" customWidth="1"/>
    <col min="9994" max="9994" width="10.5703125" customWidth="1"/>
    <col min="9996" max="9996" width="13.42578125" customWidth="1"/>
    <col min="9997" max="9997" width="9.85546875" customWidth="1"/>
    <col min="9998" max="9998" width="8.42578125" customWidth="1"/>
    <col min="9999" max="9999" width="5.85546875" customWidth="1"/>
    <col min="10237" max="10237" width="3.5703125" customWidth="1"/>
    <col min="10238" max="10238" width="13.140625" customWidth="1"/>
    <col min="10239" max="10239" width="24.42578125" bestFit="1" customWidth="1"/>
    <col min="10240" max="10240" width="10.140625" customWidth="1"/>
    <col min="10241" max="10242" width="9.85546875" customWidth="1"/>
    <col min="10243" max="10243" width="8.85546875" customWidth="1"/>
    <col min="10244" max="10244" width="10.85546875" customWidth="1"/>
    <col min="10245" max="10245" width="13.140625" customWidth="1"/>
    <col min="10246" max="10246" width="14" customWidth="1"/>
    <col min="10247" max="10247" width="9.5703125" customWidth="1"/>
    <col min="10248" max="10248" width="9.42578125" customWidth="1"/>
    <col min="10250" max="10250" width="10.5703125" customWidth="1"/>
    <col min="10252" max="10252" width="13.42578125" customWidth="1"/>
    <col min="10253" max="10253" width="9.85546875" customWidth="1"/>
    <col min="10254" max="10254" width="8.42578125" customWidth="1"/>
    <col min="10255" max="10255" width="5.85546875" customWidth="1"/>
    <col min="10493" max="10493" width="3.5703125" customWidth="1"/>
    <col min="10494" max="10494" width="13.140625" customWidth="1"/>
    <col min="10495" max="10495" width="24.42578125" bestFit="1" customWidth="1"/>
    <col min="10496" max="10496" width="10.140625" customWidth="1"/>
    <col min="10497" max="10498" width="9.85546875" customWidth="1"/>
    <col min="10499" max="10499" width="8.85546875" customWidth="1"/>
    <col min="10500" max="10500" width="10.85546875" customWidth="1"/>
    <col min="10501" max="10501" width="13.140625" customWidth="1"/>
    <col min="10502" max="10502" width="14" customWidth="1"/>
    <col min="10503" max="10503" width="9.5703125" customWidth="1"/>
    <col min="10504" max="10504" width="9.42578125" customWidth="1"/>
    <col min="10506" max="10506" width="10.5703125" customWidth="1"/>
    <col min="10508" max="10508" width="13.42578125" customWidth="1"/>
    <col min="10509" max="10509" width="9.85546875" customWidth="1"/>
    <col min="10510" max="10510" width="8.42578125" customWidth="1"/>
    <col min="10511" max="10511" width="5.85546875" customWidth="1"/>
    <col min="10749" max="10749" width="3.5703125" customWidth="1"/>
    <col min="10750" max="10750" width="13.140625" customWidth="1"/>
    <col min="10751" max="10751" width="24.42578125" bestFit="1" customWidth="1"/>
    <col min="10752" max="10752" width="10.140625" customWidth="1"/>
    <col min="10753" max="10754" width="9.85546875" customWidth="1"/>
    <col min="10755" max="10755" width="8.85546875" customWidth="1"/>
    <col min="10756" max="10756" width="10.85546875" customWidth="1"/>
    <col min="10757" max="10757" width="13.140625" customWidth="1"/>
    <col min="10758" max="10758" width="14" customWidth="1"/>
    <col min="10759" max="10759" width="9.5703125" customWidth="1"/>
    <col min="10760" max="10760" width="9.42578125" customWidth="1"/>
    <col min="10762" max="10762" width="10.5703125" customWidth="1"/>
    <col min="10764" max="10764" width="13.42578125" customWidth="1"/>
    <col min="10765" max="10765" width="9.85546875" customWidth="1"/>
    <col min="10766" max="10766" width="8.42578125" customWidth="1"/>
    <col min="10767" max="10767" width="5.85546875" customWidth="1"/>
    <col min="11005" max="11005" width="3.5703125" customWidth="1"/>
    <col min="11006" max="11006" width="13.140625" customWidth="1"/>
    <col min="11007" max="11007" width="24.42578125" bestFit="1" customWidth="1"/>
    <col min="11008" max="11008" width="10.140625" customWidth="1"/>
    <col min="11009" max="11010" width="9.85546875" customWidth="1"/>
    <col min="11011" max="11011" width="8.85546875" customWidth="1"/>
    <col min="11012" max="11012" width="10.85546875" customWidth="1"/>
    <col min="11013" max="11013" width="13.140625" customWidth="1"/>
    <col min="11014" max="11014" width="14" customWidth="1"/>
    <col min="11015" max="11015" width="9.5703125" customWidth="1"/>
    <col min="11016" max="11016" width="9.42578125" customWidth="1"/>
    <col min="11018" max="11018" width="10.5703125" customWidth="1"/>
    <col min="11020" max="11020" width="13.42578125" customWidth="1"/>
    <col min="11021" max="11021" width="9.85546875" customWidth="1"/>
    <col min="11022" max="11022" width="8.42578125" customWidth="1"/>
    <col min="11023" max="11023" width="5.85546875" customWidth="1"/>
    <col min="11261" max="11261" width="3.5703125" customWidth="1"/>
    <col min="11262" max="11262" width="13.140625" customWidth="1"/>
    <col min="11263" max="11263" width="24.42578125" bestFit="1" customWidth="1"/>
    <col min="11264" max="11264" width="10.140625" customWidth="1"/>
    <col min="11265" max="11266" width="9.85546875" customWidth="1"/>
    <col min="11267" max="11267" width="8.85546875" customWidth="1"/>
    <col min="11268" max="11268" width="10.85546875" customWidth="1"/>
    <col min="11269" max="11269" width="13.140625" customWidth="1"/>
    <col min="11270" max="11270" width="14" customWidth="1"/>
    <col min="11271" max="11271" width="9.5703125" customWidth="1"/>
    <col min="11272" max="11272" width="9.42578125" customWidth="1"/>
    <col min="11274" max="11274" width="10.5703125" customWidth="1"/>
    <col min="11276" max="11276" width="13.42578125" customWidth="1"/>
    <col min="11277" max="11277" width="9.85546875" customWidth="1"/>
    <col min="11278" max="11278" width="8.42578125" customWidth="1"/>
    <col min="11279" max="11279" width="5.85546875" customWidth="1"/>
    <col min="11517" max="11517" width="3.5703125" customWidth="1"/>
    <col min="11518" max="11518" width="13.140625" customWidth="1"/>
    <col min="11519" max="11519" width="24.42578125" bestFit="1" customWidth="1"/>
    <col min="11520" max="11520" width="10.140625" customWidth="1"/>
    <col min="11521" max="11522" width="9.85546875" customWidth="1"/>
    <col min="11523" max="11523" width="8.85546875" customWidth="1"/>
    <col min="11524" max="11524" width="10.85546875" customWidth="1"/>
    <col min="11525" max="11525" width="13.140625" customWidth="1"/>
    <col min="11526" max="11526" width="14" customWidth="1"/>
    <col min="11527" max="11527" width="9.5703125" customWidth="1"/>
    <col min="11528" max="11528" width="9.42578125" customWidth="1"/>
    <col min="11530" max="11530" width="10.5703125" customWidth="1"/>
    <col min="11532" max="11532" width="13.42578125" customWidth="1"/>
    <col min="11533" max="11533" width="9.85546875" customWidth="1"/>
    <col min="11534" max="11534" width="8.42578125" customWidth="1"/>
    <col min="11535" max="11535" width="5.85546875" customWidth="1"/>
    <col min="11773" max="11773" width="3.5703125" customWidth="1"/>
    <col min="11774" max="11774" width="13.140625" customWidth="1"/>
    <col min="11775" max="11775" width="24.42578125" bestFit="1" customWidth="1"/>
    <col min="11776" max="11776" width="10.140625" customWidth="1"/>
    <col min="11777" max="11778" width="9.85546875" customWidth="1"/>
    <col min="11779" max="11779" width="8.85546875" customWidth="1"/>
    <col min="11780" max="11780" width="10.85546875" customWidth="1"/>
    <col min="11781" max="11781" width="13.140625" customWidth="1"/>
    <col min="11782" max="11782" width="14" customWidth="1"/>
    <col min="11783" max="11783" width="9.5703125" customWidth="1"/>
    <col min="11784" max="11784" width="9.42578125" customWidth="1"/>
    <col min="11786" max="11786" width="10.5703125" customWidth="1"/>
    <col min="11788" max="11788" width="13.42578125" customWidth="1"/>
    <col min="11789" max="11789" width="9.85546875" customWidth="1"/>
    <col min="11790" max="11790" width="8.42578125" customWidth="1"/>
    <col min="11791" max="11791" width="5.85546875" customWidth="1"/>
    <col min="12029" max="12029" width="3.5703125" customWidth="1"/>
    <col min="12030" max="12030" width="13.140625" customWidth="1"/>
    <col min="12031" max="12031" width="24.42578125" bestFit="1" customWidth="1"/>
    <col min="12032" max="12032" width="10.140625" customWidth="1"/>
    <col min="12033" max="12034" width="9.85546875" customWidth="1"/>
    <col min="12035" max="12035" width="8.85546875" customWidth="1"/>
    <col min="12036" max="12036" width="10.85546875" customWidth="1"/>
    <col min="12037" max="12037" width="13.140625" customWidth="1"/>
    <col min="12038" max="12038" width="14" customWidth="1"/>
    <col min="12039" max="12039" width="9.5703125" customWidth="1"/>
    <col min="12040" max="12040" width="9.42578125" customWidth="1"/>
    <col min="12042" max="12042" width="10.5703125" customWidth="1"/>
    <col min="12044" max="12044" width="13.42578125" customWidth="1"/>
    <col min="12045" max="12045" width="9.85546875" customWidth="1"/>
    <col min="12046" max="12046" width="8.42578125" customWidth="1"/>
    <col min="12047" max="12047" width="5.85546875" customWidth="1"/>
    <col min="12285" max="12285" width="3.5703125" customWidth="1"/>
    <col min="12286" max="12286" width="13.140625" customWidth="1"/>
    <col min="12287" max="12287" width="24.42578125" bestFit="1" customWidth="1"/>
    <col min="12288" max="12288" width="10.140625" customWidth="1"/>
    <col min="12289" max="12290" width="9.85546875" customWidth="1"/>
    <col min="12291" max="12291" width="8.85546875" customWidth="1"/>
    <col min="12292" max="12292" width="10.85546875" customWidth="1"/>
    <col min="12293" max="12293" width="13.140625" customWidth="1"/>
    <col min="12294" max="12294" width="14" customWidth="1"/>
    <col min="12295" max="12295" width="9.5703125" customWidth="1"/>
    <col min="12296" max="12296" width="9.42578125" customWidth="1"/>
    <col min="12298" max="12298" width="10.5703125" customWidth="1"/>
    <col min="12300" max="12300" width="13.42578125" customWidth="1"/>
    <col min="12301" max="12301" width="9.85546875" customWidth="1"/>
    <col min="12302" max="12302" width="8.42578125" customWidth="1"/>
    <col min="12303" max="12303" width="5.85546875" customWidth="1"/>
    <col min="12541" max="12541" width="3.5703125" customWidth="1"/>
    <col min="12542" max="12542" width="13.140625" customWidth="1"/>
    <col min="12543" max="12543" width="24.42578125" bestFit="1" customWidth="1"/>
    <col min="12544" max="12544" width="10.140625" customWidth="1"/>
    <col min="12545" max="12546" width="9.85546875" customWidth="1"/>
    <col min="12547" max="12547" width="8.85546875" customWidth="1"/>
    <col min="12548" max="12548" width="10.85546875" customWidth="1"/>
    <col min="12549" max="12549" width="13.140625" customWidth="1"/>
    <col min="12550" max="12550" width="14" customWidth="1"/>
    <col min="12551" max="12551" width="9.5703125" customWidth="1"/>
    <col min="12552" max="12552" width="9.42578125" customWidth="1"/>
    <col min="12554" max="12554" width="10.5703125" customWidth="1"/>
    <col min="12556" max="12556" width="13.42578125" customWidth="1"/>
    <col min="12557" max="12557" width="9.85546875" customWidth="1"/>
    <col min="12558" max="12558" width="8.42578125" customWidth="1"/>
    <col min="12559" max="12559" width="5.85546875" customWidth="1"/>
    <col min="12797" max="12797" width="3.5703125" customWidth="1"/>
    <col min="12798" max="12798" width="13.140625" customWidth="1"/>
    <col min="12799" max="12799" width="24.42578125" bestFit="1" customWidth="1"/>
    <col min="12800" max="12800" width="10.140625" customWidth="1"/>
    <col min="12801" max="12802" width="9.85546875" customWidth="1"/>
    <col min="12803" max="12803" width="8.85546875" customWidth="1"/>
    <col min="12804" max="12804" width="10.85546875" customWidth="1"/>
    <col min="12805" max="12805" width="13.140625" customWidth="1"/>
    <col min="12806" max="12806" width="14" customWidth="1"/>
    <col min="12807" max="12807" width="9.5703125" customWidth="1"/>
    <col min="12808" max="12808" width="9.42578125" customWidth="1"/>
    <col min="12810" max="12810" width="10.5703125" customWidth="1"/>
    <col min="12812" max="12812" width="13.42578125" customWidth="1"/>
    <col min="12813" max="12813" width="9.85546875" customWidth="1"/>
    <col min="12814" max="12814" width="8.42578125" customWidth="1"/>
    <col min="12815" max="12815" width="5.85546875" customWidth="1"/>
    <col min="13053" max="13053" width="3.5703125" customWidth="1"/>
    <col min="13054" max="13054" width="13.140625" customWidth="1"/>
    <col min="13055" max="13055" width="24.42578125" bestFit="1" customWidth="1"/>
    <col min="13056" max="13056" width="10.140625" customWidth="1"/>
    <col min="13057" max="13058" width="9.85546875" customWidth="1"/>
    <col min="13059" max="13059" width="8.85546875" customWidth="1"/>
    <col min="13060" max="13060" width="10.85546875" customWidth="1"/>
    <col min="13061" max="13061" width="13.140625" customWidth="1"/>
    <col min="13062" max="13062" width="14" customWidth="1"/>
    <col min="13063" max="13063" width="9.5703125" customWidth="1"/>
    <col min="13064" max="13064" width="9.42578125" customWidth="1"/>
    <col min="13066" max="13066" width="10.5703125" customWidth="1"/>
    <col min="13068" max="13068" width="13.42578125" customWidth="1"/>
    <col min="13069" max="13069" width="9.85546875" customWidth="1"/>
    <col min="13070" max="13070" width="8.42578125" customWidth="1"/>
    <col min="13071" max="13071" width="5.85546875" customWidth="1"/>
    <col min="13309" max="13309" width="3.5703125" customWidth="1"/>
    <col min="13310" max="13310" width="13.140625" customWidth="1"/>
    <col min="13311" max="13311" width="24.42578125" bestFit="1" customWidth="1"/>
    <col min="13312" max="13312" width="10.140625" customWidth="1"/>
    <col min="13313" max="13314" width="9.85546875" customWidth="1"/>
    <col min="13315" max="13315" width="8.85546875" customWidth="1"/>
    <col min="13316" max="13316" width="10.85546875" customWidth="1"/>
    <col min="13317" max="13317" width="13.140625" customWidth="1"/>
    <col min="13318" max="13318" width="14" customWidth="1"/>
    <col min="13319" max="13319" width="9.5703125" customWidth="1"/>
    <col min="13320" max="13320" width="9.42578125" customWidth="1"/>
    <col min="13322" max="13322" width="10.5703125" customWidth="1"/>
    <col min="13324" max="13324" width="13.42578125" customWidth="1"/>
    <col min="13325" max="13325" width="9.85546875" customWidth="1"/>
    <col min="13326" max="13326" width="8.42578125" customWidth="1"/>
    <col min="13327" max="13327" width="5.85546875" customWidth="1"/>
    <col min="13565" max="13565" width="3.5703125" customWidth="1"/>
    <col min="13566" max="13566" width="13.140625" customWidth="1"/>
    <col min="13567" max="13567" width="24.42578125" bestFit="1" customWidth="1"/>
    <col min="13568" max="13568" width="10.140625" customWidth="1"/>
    <col min="13569" max="13570" width="9.85546875" customWidth="1"/>
    <col min="13571" max="13571" width="8.85546875" customWidth="1"/>
    <col min="13572" max="13572" width="10.85546875" customWidth="1"/>
    <col min="13573" max="13573" width="13.140625" customWidth="1"/>
    <col min="13574" max="13574" width="14" customWidth="1"/>
    <col min="13575" max="13575" width="9.5703125" customWidth="1"/>
    <col min="13576" max="13576" width="9.42578125" customWidth="1"/>
    <col min="13578" max="13578" width="10.5703125" customWidth="1"/>
    <col min="13580" max="13580" width="13.42578125" customWidth="1"/>
    <col min="13581" max="13581" width="9.85546875" customWidth="1"/>
    <col min="13582" max="13582" width="8.42578125" customWidth="1"/>
    <col min="13583" max="13583" width="5.85546875" customWidth="1"/>
    <col min="13821" max="13821" width="3.5703125" customWidth="1"/>
    <col min="13822" max="13822" width="13.140625" customWidth="1"/>
    <col min="13823" max="13823" width="24.42578125" bestFit="1" customWidth="1"/>
    <col min="13824" max="13824" width="10.140625" customWidth="1"/>
    <col min="13825" max="13826" width="9.85546875" customWidth="1"/>
    <col min="13827" max="13827" width="8.85546875" customWidth="1"/>
    <col min="13828" max="13828" width="10.85546875" customWidth="1"/>
    <col min="13829" max="13829" width="13.140625" customWidth="1"/>
    <col min="13830" max="13830" width="14" customWidth="1"/>
    <col min="13831" max="13831" width="9.5703125" customWidth="1"/>
    <col min="13832" max="13832" width="9.42578125" customWidth="1"/>
    <col min="13834" max="13834" width="10.5703125" customWidth="1"/>
    <col min="13836" max="13836" width="13.42578125" customWidth="1"/>
    <col min="13837" max="13837" width="9.85546875" customWidth="1"/>
    <col min="13838" max="13838" width="8.42578125" customWidth="1"/>
    <col min="13839" max="13839" width="5.85546875" customWidth="1"/>
    <col min="14077" max="14077" width="3.5703125" customWidth="1"/>
    <col min="14078" max="14078" width="13.140625" customWidth="1"/>
    <col min="14079" max="14079" width="24.42578125" bestFit="1" customWidth="1"/>
    <col min="14080" max="14080" width="10.140625" customWidth="1"/>
    <col min="14081" max="14082" width="9.85546875" customWidth="1"/>
    <col min="14083" max="14083" width="8.85546875" customWidth="1"/>
    <col min="14084" max="14084" width="10.85546875" customWidth="1"/>
    <col min="14085" max="14085" width="13.140625" customWidth="1"/>
    <col min="14086" max="14086" width="14" customWidth="1"/>
    <col min="14087" max="14087" width="9.5703125" customWidth="1"/>
    <col min="14088" max="14088" width="9.42578125" customWidth="1"/>
    <col min="14090" max="14090" width="10.5703125" customWidth="1"/>
    <col min="14092" max="14092" width="13.42578125" customWidth="1"/>
    <col min="14093" max="14093" width="9.85546875" customWidth="1"/>
    <col min="14094" max="14094" width="8.42578125" customWidth="1"/>
    <col min="14095" max="14095" width="5.85546875" customWidth="1"/>
    <col min="14333" max="14333" width="3.5703125" customWidth="1"/>
    <col min="14334" max="14334" width="13.140625" customWidth="1"/>
    <col min="14335" max="14335" width="24.42578125" bestFit="1" customWidth="1"/>
    <col min="14336" max="14336" width="10.140625" customWidth="1"/>
    <col min="14337" max="14338" width="9.85546875" customWidth="1"/>
    <col min="14339" max="14339" width="8.85546875" customWidth="1"/>
    <col min="14340" max="14340" width="10.85546875" customWidth="1"/>
    <col min="14341" max="14341" width="13.140625" customWidth="1"/>
    <col min="14342" max="14342" width="14" customWidth="1"/>
    <col min="14343" max="14343" width="9.5703125" customWidth="1"/>
    <col min="14344" max="14344" width="9.42578125" customWidth="1"/>
    <col min="14346" max="14346" width="10.5703125" customWidth="1"/>
    <col min="14348" max="14348" width="13.42578125" customWidth="1"/>
    <col min="14349" max="14349" width="9.85546875" customWidth="1"/>
    <col min="14350" max="14350" width="8.42578125" customWidth="1"/>
    <col min="14351" max="14351" width="5.85546875" customWidth="1"/>
    <col min="14589" max="14589" width="3.5703125" customWidth="1"/>
    <col min="14590" max="14590" width="13.140625" customWidth="1"/>
    <col min="14591" max="14591" width="24.42578125" bestFit="1" customWidth="1"/>
    <col min="14592" max="14592" width="10.140625" customWidth="1"/>
    <col min="14593" max="14594" width="9.85546875" customWidth="1"/>
    <col min="14595" max="14595" width="8.85546875" customWidth="1"/>
    <col min="14596" max="14596" width="10.85546875" customWidth="1"/>
    <col min="14597" max="14597" width="13.140625" customWidth="1"/>
    <col min="14598" max="14598" width="14" customWidth="1"/>
    <col min="14599" max="14599" width="9.5703125" customWidth="1"/>
    <col min="14600" max="14600" width="9.42578125" customWidth="1"/>
    <col min="14602" max="14602" width="10.5703125" customWidth="1"/>
    <col min="14604" max="14604" width="13.42578125" customWidth="1"/>
    <col min="14605" max="14605" width="9.85546875" customWidth="1"/>
    <col min="14606" max="14606" width="8.42578125" customWidth="1"/>
    <col min="14607" max="14607" width="5.85546875" customWidth="1"/>
    <col min="14845" max="14845" width="3.5703125" customWidth="1"/>
    <col min="14846" max="14846" width="13.140625" customWidth="1"/>
    <col min="14847" max="14847" width="24.42578125" bestFit="1" customWidth="1"/>
    <col min="14848" max="14848" width="10.140625" customWidth="1"/>
    <col min="14849" max="14850" width="9.85546875" customWidth="1"/>
    <col min="14851" max="14851" width="8.85546875" customWidth="1"/>
    <col min="14852" max="14852" width="10.85546875" customWidth="1"/>
    <col min="14853" max="14853" width="13.140625" customWidth="1"/>
    <col min="14854" max="14854" width="14" customWidth="1"/>
    <col min="14855" max="14855" width="9.5703125" customWidth="1"/>
    <col min="14856" max="14856" width="9.42578125" customWidth="1"/>
    <col min="14858" max="14858" width="10.5703125" customWidth="1"/>
    <col min="14860" max="14860" width="13.42578125" customWidth="1"/>
    <col min="14861" max="14861" width="9.85546875" customWidth="1"/>
    <col min="14862" max="14862" width="8.42578125" customWidth="1"/>
    <col min="14863" max="14863" width="5.85546875" customWidth="1"/>
    <col min="15101" max="15101" width="3.5703125" customWidth="1"/>
    <col min="15102" max="15102" width="13.140625" customWidth="1"/>
    <col min="15103" max="15103" width="24.42578125" bestFit="1" customWidth="1"/>
    <col min="15104" max="15104" width="10.140625" customWidth="1"/>
    <col min="15105" max="15106" width="9.85546875" customWidth="1"/>
    <col min="15107" max="15107" width="8.85546875" customWidth="1"/>
    <col min="15108" max="15108" width="10.85546875" customWidth="1"/>
    <col min="15109" max="15109" width="13.140625" customWidth="1"/>
    <col min="15110" max="15110" width="14" customWidth="1"/>
    <col min="15111" max="15111" width="9.5703125" customWidth="1"/>
    <col min="15112" max="15112" width="9.42578125" customWidth="1"/>
    <col min="15114" max="15114" width="10.5703125" customWidth="1"/>
    <col min="15116" max="15116" width="13.42578125" customWidth="1"/>
    <col min="15117" max="15117" width="9.85546875" customWidth="1"/>
    <col min="15118" max="15118" width="8.42578125" customWidth="1"/>
    <col min="15119" max="15119" width="5.85546875" customWidth="1"/>
    <col min="15357" max="15357" width="3.5703125" customWidth="1"/>
    <col min="15358" max="15358" width="13.140625" customWidth="1"/>
    <col min="15359" max="15359" width="24.42578125" bestFit="1" customWidth="1"/>
    <col min="15360" max="15360" width="10.140625" customWidth="1"/>
    <col min="15361" max="15362" width="9.85546875" customWidth="1"/>
    <col min="15363" max="15363" width="8.85546875" customWidth="1"/>
    <col min="15364" max="15364" width="10.85546875" customWidth="1"/>
    <col min="15365" max="15365" width="13.140625" customWidth="1"/>
    <col min="15366" max="15366" width="14" customWidth="1"/>
    <col min="15367" max="15367" width="9.5703125" customWidth="1"/>
    <col min="15368" max="15368" width="9.42578125" customWidth="1"/>
    <col min="15370" max="15370" width="10.5703125" customWidth="1"/>
    <col min="15372" max="15372" width="13.42578125" customWidth="1"/>
    <col min="15373" max="15373" width="9.85546875" customWidth="1"/>
    <col min="15374" max="15374" width="8.42578125" customWidth="1"/>
    <col min="15375" max="15375" width="5.85546875" customWidth="1"/>
    <col min="15613" max="15613" width="3.5703125" customWidth="1"/>
    <col min="15614" max="15614" width="13.140625" customWidth="1"/>
    <col min="15615" max="15615" width="24.42578125" bestFit="1" customWidth="1"/>
    <col min="15616" max="15616" width="10.140625" customWidth="1"/>
    <col min="15617" max="15618" width="9.85546875" customWidth="1"/>
    <col min="15619" max="15619" width="8.85546875" customWidth="1"/>
    <col min="15620" max="15620" width="10.85546875" customWidth="1"/>
    <col min="15621" max="15621" width="13.140625" customWidth="1"/>
    <col min="15622" max="15622" width="14" customWidth="1"/>
    <col min="15623" max="15623" width="9.5703125" customWidth="1"/>
    <col min="15624" max="15624" width="9.42578125" customWidth="1"/>
    <col min="15626" max="15626" width="10.5703125" customWidth="1"/>
    <col min="15628" max="15628" width="13.42578125" customWidth="1"/>
    <col min="15629" max="15629" width="9.85546875" customWidth="1"/>
    <col min="15630" max="15630" width="8.42578125" customWidth="1"/>
    <col min="15631" max="15631" width="5.85546875" customWidth="1"/>
    <col min="15869" max="15869" width="3.5703125" customWidth="1"/>
    <col min="15870" max="15870" width="13.140625" customWidth="1"/>
    <col min="15871" max="15871" width="24.42578125" bestFit="1" customWidth="1"/>
    <col min="15872" max="15872" width="10.140625" customWidth="1"/>
    <col min="15873" max="15874" width="9.85546875" customWidth="1"/>
    <col min="15875" max="15875" width="8.85546875" customWidth="1"/>
    <col min="15876" max="15876" width="10.85546875" customWidth="1"/>
    <col min="15877" max="15877" width="13.140625" customWidth="1"/>
    <col min="15878" max="15878" width="14" customWidth="1"/>
    <col min="15879" max="15879" width="9.5703125" customWidth="1"/>
    <col min="15880" max="15880" width="9.42578125" customWidth="1"/>
    <col min="15882" max="15882" width="10.5703125" customWidth="1"/>
    <col min="15884" max="15884" width="13.42578125" customWidth="1"/>
    <col min="15885" max="15885" width="9.85546875" customWidth="1"/>
    <col min="15886" max="15886" width="8.42578125" customWidth="1"/>
    <col min="15887" max="15887" width="5.85546875" customWidth="1"/>
    <col min="16125" max="16125" width="3.5703125" customWidth="1"/>
    <col min="16126" max="16126" width="13.140625" customWidth="1"/>
    <col min="16127" max="16127" width="24.42578125" bestFit="1" customWidth="1"/>
    <col min="16128" max="16128" width="10.140625" customWidth="1"/>
    <col min="16129" max="16130" width="9.85546875" customWidth="1"/>
    <col min="16131" max="16131" width="8.85546875" customWidth="1"/>
    <col min="16132" max="16132" width="10.85546875" customWidth="1"/>
    <col min="16133" max="16133" width="13.140625" customWidth="1"/>
    <col min="16134" max="16134" width="14" customWidth="1"/>
    <col min="16135" max="16135" width="9.5703125" customWidth="1"/>
    <col min="16136" max="16136" width="9.42578125" customWidth="1"/>
    <col min="16138" max="16138" width="10.5703125" customWidth="1"/>
    <col min="16140" max="16140" width="13.42578125" customWidth="1"/>
    <col min="16141" max="16141" width="9.85546875" customWidth="1"/>
    <col min="16142" max="16142" width="8.42578125" customWidth="1"/>
    <col min="16143" max="16143" width="5.85546875" customWidth="1"/>
  </cols>
  <sheetData>
    <row r="1" spans="1:16" ht="20.25" x14ac:dyDescent="0.3">
      <c r="A1" s="482" t="s">
        <v>520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  <c r="L1" s="482"/>
      <c r="M1" s="482"/>
      <c r="N1" s="482"/>
      <c r="O1" s="482"/>
      <c r="P1" s="482"/>
    </row>
    <row r="2" spans="1:16" ht="15.75" x14ac:dyDescent="0.25">
      <c r="A2" s="351" t="s">
        <v>425</v>
      </c>
      <c r="B2" s="351"/>
    </row>
    <row r="3" spans="1:16" ht="15.75" x14ac:dyDescent="0.25">
      <c r="A3" s="260"/>
      <c r="B3" s="260"/>
    </row>
    <row r="4" spans="1:16" ht="15.75" x14ac:dyDescent="0.25">
      <c r="A4" s="388"/>
      <c r="B4" s="388" t="s">
        <v>531</v>
      </c>
      <c r="C4" s="82" t="str">
        <f>+Planilla!B5</f>
        <v>INSPECCIÓN DETALLADA y DIAGNOSTICO ESTRUCTURAL DE OBRAS DE ARTE AMBA - LINEA MITRE-ETAPA 1</v>
      </c>
    </row>
    <row r="5" spans="1:16" ht="15.75" x14ac:dyDescent="0.25">
      <c r="A5" s="388"/>
      <c r="B5" s="388" t="str">
        <f>+Planilla!A6</f>
        <v>PET</v>
      </c>
      <c r="C5" s="388" t="str">
        <f>+Planilla!B6</f>
        <v>MT-VO-ET-073   Rev.: 0</v>
      </c>
    </row>
    <row r="7" spans="1:16" x14ac:dyDescent="0.25">
      <c r="A7" s="480" t="s">
        <v>324</v>
      </c>
      <c r="B7" s="480" t="s">
        <v>357</v>
      </c>
      <c r="C7" s="480" t="s">
        <v>426</v>
      </c>
      <c r="D7" s="480" t="s">
        <v>427</v>
      </c>
      <c r="E7" s="480" t="s">
        <v>390</v>
      </c>
      <c r="F7" s="480" t="s">
        <v>428</v>
      </c>
      <c r="G7" s="480" t="s">
        <v>429</v>
      </c>
      <c r="H7" s="480" t="s">
        <v>430</v>
      </c>
      <c r="I7" s="480" t="s">
        <v>431</v>
      </c>
      <c r="J7" s="480" t="s">
        <v>432</v>
      </c>
      <c r="K7" s="481" t="s">
        <v>321</v>
      </c>
      <c r="L7" s="481"/>
      <c r="M7" s="481"/>
      <c r="N7" s="481"/>
      <c r="O7" s="480" t="s">
        <v>433</v>
      </c>
      <c r="P7" s="480" t="s">
        <v>434</v>
      </c>
    </row>
    <row r="8" spans="1:16" ht="25.5" x14ac:dyDescent="0.25">
      <c r="A8" s="477"/>
      <c r="B8" s="476"/>
      <c r="C8" s="477"/>
      <c r="D8" s="477"/>
      <c r="E8" s="477"/>
      <c r="F8" s="477"/>
      <c r="G8" s="477"/>
      <c r="H8" s="477"/>
      <c r="I8" s="477"/>
      <c r="J8" s="477"/>
      <c r="K8" s="389" t="s">
        <v>435</v>
      </c>
      <c r="L8" s="389" t="s">
        <v>4</v>
      </c>
      <c r="M8" s="389" t="s">
        <v>436</v>
      </c>
      <c r="N8" s="389" t="s">
        <v>437</v>
      </c>
      <c r="O8" s="477"/>
      <c r="P8" s="477"/>
    </row>
    <row r="9" spans="1:16" x14ac:dyDescent="0.25">
      <c r="A9" s="354"/>
      <c r="B9" s="354"/>
      <c r="C9" s="354"/>
      <c r="D9" s="354" t="s">
        <v>438</v>
      </c>
      <c r="E9" s="354"/>
      <c r="F9" s="354"/>
      <c r="G9" s="354" t="s">
        <v>439</v>
      </c>
      <c r="H9" s="354" t="s">
        <v>439</v>
      </c>
      <c r="I9" s="354" t="s">
        <v>440</v>
      </c>
      <c r="J9" s="354" t="s">
        <v>440</v>
      </c>
      <c r="K9" s="354"/>
      <c r="L9" s="354" t="s">
        <v>441</v>
      </c>
      <c r="M9" s="354" t="s">
        <v>442</v>
      </c>
      <c r="N9" s="354" t="s">
        <v>443</v>
      </c>
      <c r="O9" s="354" t="s">
        <v>440</v>
      </c>
      <c r="P9" s="354" t="s">
        <v>440</v>
      </c>
    </row>
    <row r="10" spans="1:16" x14ac:dyDescent="0.25">
      <c r="A10" s="390"/>
      <c r="B10" s="390"/>
      <c r="C10" s="390">
        <v>1</v>
      </c>
      <c r="D10" s="390">
        <v>2</v>
      </c>
      <c r="E10" s="390">
        <v>3</v>
      </c>
      <c r="F10" s="391" t="s">
        <v>444</v>
      </c>
      <c r="G10" s="390">
        <v>5</v>
      </c>
      <c r="H10" s="390">
        <v>6</v>
      </c>
      <c r="I10" s="390">
        <v>7</v>
      </c>
      <c r="J10" s="390" t="s">
        <v>445</v>
      </c>
      <c r="K10" s="390">
        <v>9</v>
      </c>
      <c r="L10" s="390">
        <v>10</v>
      </c>
      <c r="M10" s="390">
        <v>11</v>
      </c>
      <c r="N10" s="390" t="s">
        <v>446</v>
      </c>
      <c r="O10" s="390" t="s">
        <v>447</v>
      </c>
      <c r="P10" s="390" t="s">
        <v>448</v>
      </c>
    </row>
    <row r="11" spans="1:16" ht="6" customHeight="1" x14ac:dyDescent="0.25">
      <c r="A11" s="359"/>
      <c r="B11" s="359"/>
      <c r="C11" s="359"/>
      <c r="D11" s="359"/>
      <c r="E11" s="359"/>
      <c r="F11" s="359"/>
      <c r="G11" s="359"/>
      <c r="H11" s="359"/>
      <c r="I11" s="359"/>
      <c r="J11" s="359"/>
      <c r="K11" s="359"/>
      <c r="L11" s="359"/>
      <c r="M11" s="359"/>
      <c r="N11" s="359"/>
      <c r="O11" s="359"/>
      <c r="P11" s="359"/>
    </row>
    <row r="12" spans="1:16" x14ac:dyDescent="0.25">
      <c r="A12" s="392">
        <v>1</v>
      </c>
      <c r="B12" s="393"/>
      <c r="C12" s="394"/>
      <c r="D12" s="392"/>
      <c r="E12" s="395"/>
      <c r="F12" s="395">
        <f t="shared" ref="F12:F27" si="0">E12*0.2</f>
        <v>0</v>
      </c>
      <c r="G12" s="395">
        <v>10000</v>
      </c>
      <c r="H12" s="395">
        <v>2000</v>
      </c>
      <c r="I12" s="396">
        <f t="shared" ref="I12:I27" si="1">(E12-F12)/G12+((E12)*((1+G12/H12)/(2*G12/H12))*0.1)/H12</f>
        <v>0</v>
      </c>
      <c r="J12" s="396">
        <f t="shared" ref="J12:J21" si="2">I12*0.7</f>
        <v>0</v>
      </c>
      <c r="K12" s="392" t="s">
        <v>449</v>
      </c>
      <c r="L12" s="394"/>
      <c r="M12" s="394"/>
      <c r="N12" s="396">
        <f t="shared" ref="N12:N27" si="3">L12*M12</f>
        <v>0</v>
      </c>
      <c r="O12" s="396">
        <f t="shared" ref="O12:O27" si="4">N12*0.3</f>
        <v>0</v>
      </c>
      <c r="P12" s="396">
        <f t="shared" ref="P12:P27" si="5">N12+O12</f>
        <v>0</v>
      </c>
    </row>
    <row r="13" spans="1:16" x14ac:dyDescent="0.25">
      <c r="A13" s="397">
        <v>2</v>
      </c>
      <c r="B13" s="398"/>
      <c r="C13" s="399"/>
      <c r="D13" s="397"/>
      <c r="E13" s="400"/>
      <c r="F13" s="400">
        <f t="shared" si="0"/>
        <v>0</v>
      </c>
      <c r="G13" s="400">
        <v>10000</v>
      </c>
      <c r="H13" s="400">
        <v>2000</v>
      </c>
      <c r="I13" s="401">
        <f t="shared" si="1"/>
        <v>0</v>
      </c>
      <c r="J13" s="401">
        <f t="shared" si="2"/>
        <v>0</v>
      </c>
      <c r="K13" s="397" t="s">
        <v>449</v>
      </c>
      <c r="L13" s="399"/>
      <c r="M13" s="399"/>
      <c r="N13" s="401">
        <f t="shared" si="3"/>
        <v>0</v>
      </c>
      <c r="O13" s="401">
        <f t="shared" si="4"/>
        <v>0</v>
      </c>
      <c r="P13" s="401">
        <f t="shared" si="5"/>
        <v>0</v>
      </c>
    </row>
    <row r="14" spans="1:16" x14ac:dyDescent="0.25">
      <c r="A14" s="402">
        <v>3</v>
      </c>
      <c r="B14" s="403"/>
      <c r="C14" s="404"/>
      <c r="D14" s="402"/>
      <c r="E14" s="405"/>
      <c r="F14" s="405">
        <f t="shared" si="0"/>
        <v>0</v>
      </c>
      <c r="G14" s="405">
        <v>10000</v>
      </c>
      <c r="H14" s="405">
        <v>2000</v>
      </c>
      <c r="I14" s="406">
        <f t="shared" si="1"/>
        <v>0</v>
      </c>
      <c r="J14" s="406">
        <f t="shared" si="2"/>
        <v>0</v>
      </c>
      <c r="K14" s="402" t="s">
        <v>449</v>
      </c>
      <c r="L14" s="404"/>
      <c r="M14" s="404"/>
      <c r="N14" s="406">
        <f t="shared" si="3"/>
        <v>0</v>
      </c>
      <c r="O14" s="406">
        <f t="shared" si="4"/>
        <v>0</v>
      </c>
      <c r="P14" s="406">
        <f t="shared" si="5"/>
        <v>0</v>
      </c>
    </row>
    <row r="15" spans="1:16" x14ac:dyDescent="0.25">
      <c r="A15" s="397">
        <v>4</v>
      </c>
      <c r="B15" s="398"/>
      <c r="C15" s="399"/>
      <c r="D15" s="397"/>
      <c r="E15" s="400"/>
      <c r="F15" s="400">
        <f t="shared" si="0"/>
        <v>0</v>
      </c>
      <c r="G15" s="400">
        <v>10000</v>
      </c>
      <c r="H15" s="400">
        <v>2000</v>
      </c>
      <c r="I15" s="401">
        <f t="shared" si="1"/>
        <v>0</v>
      </c>
      <c r="J15" s="401">
        <f t="shared" si="2"/>
        <v>0</v>
      </c>
      <c r="K15" s="397" t="s">
        <v>449</v>
      </c>
      <c r="L15" s="399"/>
      <c r="M15" s="399"/>
      <c r="N15" s="401">
        <f t="shared" si="3"/>
        <v>0</v>
      </c>
      <c r="O15" s="401">
        <f t="shared" si="4"/>
        <v>0</v>
      </c>
      <c r="P15" s="401">
        <f t="shared" si="5"/>
        <v>0</v>
      </c>
    </row>
    <row r="16" spans="1:16" x14ac:dyDescent="0.25">
      <c r="A16" s="402">
        <v>5</v>
      </c>
      <c r="B16" s="403"/>
      <c r="C16" s="404"/>
      <c r="D16" s="402"/>
      <c r="E16" s="405"/>
      <c r="F16" s="405">
        <f t="shared" si="0"/>
        <v>0</v>
      </c>
      <c r="G16" s="405">
        <v>10000</v>
      </c>
      <c r="H16" s="405">
        <v>2000</v>
      </c>
      <c r="I16" s="406">
        <f t="shared" si="1"/>
        <v>0</v>
      </c>
      <c r="J16" s="406">
        <f t="shared" si="2"/>
        <v>0</v>
      </c>
      <c r="K16" s="402" t="s">
        <v>449</v>
      </c>
      <c r="L16" s="404"/>
      <c r="M16" s="404"/>
      <c r="N16" s="406">
        <f t="shared" si="3"/>
        <v>0</v>
      </c>
      <c r="O16" s="406">
        <f t="shared" si="4"/>
        <v>0</v>
      </c>
      <c r="P16" s="406">
        <f t="shared" si="5"/>
        <v>0</v>
      </c>
    </row>
    <row r="17" spans="1:16" x14ac:dyDescent="0.25">
      <c r="A17" s="402">
        <v>6</v>
      </c>
      <c r="B17" s="403"/>
      <c r="C17" s="404"/>
      <c r="D17" s="402"/>
      <c r="E17" s="405"/>
      <c r="F17" s="405">
        <f t="shared" si="0"/>
        <v>0</v>
      </c>
      <c r="G17" s="405">
        <v>10000</v>
      </c>
      <c r="H17" s="405">
        <v>2000</v>
      </c>
      <c r="I17" s="406">
        <f t="shared" si="1"/>
        <v>0</v>
      </c>
      <c r="J17" s="406">
        <f t="shared" si="2"/>
        <v>0</v>
      </c>
      <c r="K17" s="402" t="s">
        <v>449</v>
      </c>
      <c r="L17" s="404"/>
      <c r="M17" s="404"/>
      <c r="N17" s="406">
        <f t="shared" si="3"/>
        <v>0</v>
      </c>
      <c r="O17" s="406">
        <f t="shared" si="4"/>
        <v>0</v>
      </c>
      <c r="P17" s="406">
        <f t="shared" si="5"/>
        <v>0</v>
      </c>
    </row>
    <row r="18" spans="1:16" x14ac:dyDescent="0.25">
      <c r="A18" s="402">
        <v>7</v>
      </c>
      <c r="B18" s="403"/>
      <c r="C18" s="404"/>
      <c r="D18" s="402"/>
      <c r="E18" s="405"/>
      <c r="F18" s="405">
        <f t="shared" si="0"/>
        <v>0</v>
      </c>
      <c r="G18" s="405">
        <v>10000</v>
      </c>
      <c r="H18" s="405">
        <v>2000</v>
      </c>
      <c r="I18" s="406">
        <f t="shared" si="1"/>
        <v>0</v>
      </c>
      <c r="J18" s="406">
        <f t="shared" si="2"/>
        <v>0</v>
      </c>
      <c r="K18" s="402" t="s">
        <v>449</v>
      </c>
      <c r="L18" s="404"/>
      <c r="M18" s="404"/>
      <c r="N18" s="406">
        <f t="shared" si="3"/>
        <v>0</v>
      </c>
      <c r="O18" s="406">
        <f t="shared" si="4"/>
        <v>0</v>
      </c>
      <c r="P18" s="406">
        <f t="shared" si="5"/>
        <v>0</v>
      </c>
    </row>
    <row r="19" spans="1:16" x14ac:dyDescent="0.25">
      <c r="A19" s="402">
        <v>8</v>
      </c>
      <c r="B19" s="403"/>
      <c r="C19" s="404"/>
      <c r="D19" s="402"/>
      <c r="E19" s="405"/>
      <c r="F19" s="405">
        <f t="shared" si="0"/>
        <v>0</v>
      </c>
      <c r="G19" s="405">
        <v>10000</v>
      </c>
      <c r="H19" s="405">
        <v>2000</v>
      </c>
      <c r="I19" s="406">
        <f t="shared" si="1"/>
        <v>0</v>
      </c>
      <c r="J19" s="406">
        <f t="shared" si="2"/>
        <v>0</v>
      </c>
      <c r="K19" s="402" t="s">
        <v>449</v>
      </c>
      <c r="L19" s="404"/>
      <c r="M19" s="404"/>
      <c r="N19" s="406">
        <f t="shared" si="3"/>
        <v>0</v>
      </c>
      <c r="O19" s="406">
        <f t="shared" si="4"/>
        <v>0</v>
      </c>
      <c r="P19" s="406">
        <f t="shared" si="5"/>
        <v>0</v>
      </c>
    </row>
    <row r="20" spans="1:16" x14ac:dyDescent="0.25">
      <c r="A20" s="397">
        <v>9</v>
      </c>
      <c r="B20" s="398"/>
      <c r="C20" s="399"/>
      <c r="D20" s="397"/>
      <c r="E20" s="400"/>
      <c r="F20" s="400">
        <f t="shared" si="0"/>
        <v>0</v>
      </c>
      <c r="G20" s="400">
        <v>10000</v>
      </c>
      <c r="H20" s="400">
        <v>2000</v>
      </c>
      <c r="I20" s="401">
        <f t="shared" si="1"/>
        <v>0</v>
      </c>
      <c r="J20" s="401">
        <f t="shared" si="2"/>
        <v>0</v>
      </c>
      <c r="K20" s="397" t="s">
        <v>449</v>
      </c>
      <c r="L20" s="399"/>
      <c r="M20" s="399"/>
      <c r="N20" s="401">
        <f t="shared" si="3"/>
        <v>0</v>
      </c>
      <c r="O20" s="401">
        <f t="shared" si="4"/>
        <v>0</v>
      </c>
      <c r="P20" s="401">
        <f t="shared" si="5"/>
        <v>0</v>
      </c>
    </row>
    <row r="21" spans="1:16" x14ac:dyDescent="0.25">
      <c r="A21" s="397">
        <v>10</v>
      </c>
      <c r="B21" s="398"/>
      <c r="C21" s="399"/>
      <c r="D21" s="397"/>
      <c r="E21" s="400"/>
      <c r="F21" s="400">
        <f t="shared" si="0"/>
        <v>0</v>
      </c>
      <c r="G21" s="400">
        <v>10000</v>
      </c>
      <c r="H21" s="400">
        <v>2000</v>
      </c>
      <c r="I21" s="401">
        <f t="shared" si="1"/>
        <v>0</v>
      </c>
      <c r="J21" s="401">
        <f t="shared" si="2"/>
        <v>0</v>
      </c>
      <c r="K21" s="397" t="s">
        <v>449</v>
      </c>
      <c r="L21" s="399"/>
      <c r="M21" s="399"/>
      <c r="N21" s="401">
        <f t="shared" si="3"/>
        <v>0</v>
      </c>
      <c r="O21" s="401">
        <f t="shared" si="4"/>
        <v>0</v>
      </c>
      <c r="P21" s="401">
        <f t="shared" si="5"/>
        <v>0</v>
      </c>
    </row>
    <row r="22" spans="1:16" x14ac:dyDescent="0.25">
      <c r="A22" s="397">
        <v>11</v>
      </c>
      <c r="B22" s="398"/>
      <c r="C22" s="399"/>
      <c r="D22" s="397"/>
      <c r="E22" s="400"/>
      <c r="F22" s="400">
        <f t="shared" si="0"/>
        <v>0</v>
      </c>
      <c r="G22" s="400">
        <v>10000</v>
      </c>
      <c r="H22" s="400">
        <v>2000</v>
      </c>
      <c r="I22" s="401">
        <f t="shared" si="1"/>
        <v>0</v>
      </c>
      <c r="J22" s="401">
        <v>23.2</v>
      </c>
      <c r="K22" s="397" t="s">
        <v>449</v>
      </c>
      <c r="L22" s="399"/>
      <c r="M22" s="399"/>
      <c r="N22" s="401">
        <f t="shared" si="3"/>
        <v>0</v>
      </c>
      <c r="O22" s="401">
        <f t="shared" si="4"/>
        <v>0</v>
      </c>
      <c r="P22" s="401">
        <f t="shared" si="5"/>
        <v>0</v>
      </c>
    </row>
    <row r="23" spans="1:16" x14ac:dyDescent="0.25">
      <c r="A23" s="397">
        <v>12</v>
      </c>
      <c r="B23" s="398"/>
      <c r="C23" s="399"/>
      <c r="D23" s="397"/>
      <c r="E23" s="400"/>
      <c r="F23" s="400">
        <f t="shared" si="0"/>
        <v>0</v>
      </c>
      <c r="G23" s="400">
        <v>10000</v>
      </c>
      <c r="H23" s="400">
        <v>2000</v>
      </c>
      <c r="I23" s="401">
        <f t="shared" si="1"/>
        <v>0</v>
      </c>
      <c r="J23" s="401">
        <f>I23*0.7</f>
        <v>0</v>
      </c>
      <c r="K23" s="397" t="s">
        <v>449</v>
      </c>
      <c r="L23" s="399"/>
      <c r="M23" s="399"/>
      <c r="N23" s="401">
        <f t="shared" si="3"/>
        <v>0</v>
      </c>
      <c r="O23" s="401">
        <f t="shared" si="4"/>
        <v>0</v>
      </c>
      <c r="P23" s="401">
        <f t="shared" si="5"/>
        <v>0</v>
      </c>
    </row>
    <row r="24" spans="1:16" x14ac:dyDescent="0.25">
      <c r="A24" s="397">
        <v>13</v>
      </c>
      <c r="B24" s="398"/>
      <c r="C24" s="399"/>
      <c r="D24" s="397"/>
      <c r="E24" s="400"/>
      <c r="F24" s="400">
        <f t="shared" si="0"/>
        <v>0</v>
      </c>
      <c r="G24" s="400">
        <v>10000</v>
      </c>
      <c r="H24" s="400">
        <v>2000</v>
      </c>
      <c r="I24" s="401">
        <f t="shared" si="1"/>
        <v>0</v>
      </c>
      <c r="J24" s="401">
        <f>I24*0.7</f>
        <v>0</v>
      </c>
      <c r="K24" s="397" t="s">
        <v>449</v>
      </c>
      <c r="L24" s="399"/>
      <c r="M24" s="399"/>
      <c r="N24" s="401">
        <f t="shared" si="3"/>
        <v>0</v>
      </c>
      <c r="O24" s="401">
        <f t="shared" si="4"/>
        <v>0</v>
      </c>
      <c r="P24" s="401">
        <f t="shared" si="5"/>
        <v>0</v>
      </c>
    </row>
    <row r="25" spans="1:16" x14ac:dyDescent="0.25">
      <c r="A25" s="397">
        <v>14</v>
      </c>
      <c r="B25" s="398"/>
      <c r="C25" s="399"/>
      <c r="D25" s="397"/>
      <c r="E25" s="400"/>
      <c r="F25" s="400">
        <f t="shared" si="0"/>
        <v>0</v>
      </c>
      <c r="G25" s="400">
        <v>10000</v>
      </c>
      <c r="H25" s="400">
        <v>2000</v>
      </c>
      <c r="I25" s="401">
        <f t="shared" si="1"/>
        <v>0</v>
      </c>
      <c r="J25" s="401">
        <f>I25*0.7</f>
        <v>0</v>
      </c>
      <c r="K25" s="397" t="s">
        <v>449</v>
      </c>
      <c r="L25" s="399"/>
      <c r="M25" s="399"/>
      <c r="N25" s="401">
        <f t="shared" si="3"/>
        <v>0</v>
      </c>
      <c r="O25" s="401">
        <f t="shared" si="4"/>
        <v>0</v>
      </c>
      <c r="P25" s="401">
        <f t="shared" si="5"/>
        <v>0</v>
      </c>
    </row>
    <row r="26" spans="1:16" x14ac:dyDescent="0.25">
      <c r="A26" s="397">
        <v>15</v>
      </c>
      <c r="B26" s="398"/>
      <c r="C26" s="399"/>
      <c r="D26" s="397"/>
      <c r="E26" s="400"/>
      <c r="F26" s="400">
        <f t="shared" si="0"/>
        <v>0</v>
      </c>
      <c r="G26" s="400">
        <v>10000</v>
      </c>
      <c r="H26" s="400">
        <v>2000</v>
      </c>
      <c r="I26" s="401">
        <f t="shared" si="1"/>
        <v>0</v>
      </c>
      <c r="J26" s="401">
        <f>I26*0.7</f>
        <v>0</v>
      </c>
      <c r="K26" s="397" t="s">
        <v>449</v>
      </c>
      <c r="L26" s="399"/>
      <c r="M26" s="399"/>
      <c r="N26" s="401">
        <f t="shared" si="3"/>
        <v>0</v>
      </c>
      <c r="O26" s="401">
        <f t="shared" si="4"/>
        <v>0</v>
      </c>
      <c r="P26" s="401">
        <f t="shared" si="5"/>
        <v>0</v>
      </c>
    </row>
    <row r="27" spans="1:16" x14ac:dyDescent="0.25">
      <c r="A27" s="407">
        <v>17</v>
      </c>
      <c r="B27" s="408"/>
      <c r="C27" s="409"/>
      <c r="D27" s="407"/>
      <c r="E27" s="410"/>
      <c r="F27" s="410">
        <f t="shared" si="0"/>
        <v>0</v>
      </c>
      <c r="G27" s="410">
        <v>10000</v>
      </c>
      <c r="H27" s="410">
        <v>2000</v>
      </c>
      <c r="I27" s="411">
        <f t="shared" si="1"/>
        <v>0</v>
      </c>
      <c r="J27" s="411">
        <f>I27*0.7</f>
        <v>0</v>
      </c>
      <c r="K27" s="407" t="s">
        <v>450</v>
      </c>
      <c r="L27" s="409"/>
      <c r="M27" s="409"/>
      <c r="N27" s="411">
        <f t="shared" si="3"/>
        <v>0</v>
      </c>
      <c r="O27" s="411">
        <f t="shared" si="4"/>
        <v>0</v>
      </c>
      <c r="P27" s="411">
        <f t="shared" si="5"/>
        <v>0</v>
      </c>
    </row>
    <row r="30" spans="1:16" x14ac:dyDescent="0.25">
      <c r="C30" t="s">
        <v>451</v>
      </c>
    </row>
    <row r="32" spans="1:16" x14ac:dyDescent="0.25">
      <c r="A32" s="412" t="s">
        <v>452</v>
      </c>
    </row>
    <row r="33" spans="1:3" x14ac:dyDescent="0.25">
      <c r="A33" s="412"/>
    </row>
    <row r="34" spans="1:3" x14ac:dyDescent="0.25">
      <c r="B34" s="413" t="s">
        <v>453</v>
      </c>
      <c r="C34" s="412" t="s">
        <v>454</v>
      </c>
    </row>
    <row r="35" spans="1:3" x14ac:dyDescent="0.25">
      <c r="B35" s="413" t="s">
        <v>455</v>
      </c>
      <c r="C35" s="412" t="s">
        <v>456</v>
      </c>
    </row>
    <row r="36" spans="1:3" x14ac:dyDescent="0.25">
      <c r="B36" s="413" t="s">
        <v>457</v>
      </c>
      <c r="C36" s="412" t="s">
        <v>458</v>
      </c>
    </row>
    <row r="37" spans="1:3" x14ac:dyDescent="0.25">
      <c r="B37" s="413" t="s">
        <v>459</v>
      </c>
      <c r="C37" s="412" t="s">
        <v>460</v>
      </c>
    </row>
    <row r="38" spans="1:3" x14ac:dyDescent="0.25">
      <c r="B38" s="413" t="s">
        <v>461</v>
      </c>
      <c r="C38" s="412" t="s">
        <v>462</v>
      </c>
    </row>
    <row r="39" spans="1:3" x14ac:dyDescent="0.25">
      <c r="B39" s="413" t="s">
        <v>463</v>
      </c>
      <c r="C39" s="414" t="s">
        <v>464</v>
      </c>
    </row>
    <row r="40" spans="1:3" x14ac:dyDescent="0.25">
      <c r="B40" s="413" t="s">
        <v>465</v>
      </c>
      <c r="C40" s="414" t="s">
        <v>466</v>
      </c>
    </row>
    <row r="41" spans="1:3" x14ac:dyDescent="0.25">
      <c r="B41" s="413" t="s">
        <v>467</v>
      </c>
      <c r="C41" s="414" t="s">
        <v>468</v>
      </c>
    </row>
    <row r="42" spans="1:3" x14ac:dyDescent="0.25">
      <c r="B42" s="413" t="s">
        <v>469</v>
      </c>
      <c r="C42" s="412" t="s">
        <v>470</v>
      </c>
    </row>
    <row r="43" spans="1:3" x14ac:dyDescent="0.25">
      <c r="B43" s="413" t="s">
        <v>471</v>
      </c>
      <c r="C43" s="412" t="s">
        <v>472</v>
      </c>
    </row>
    <row r="44" spans="1:3" x14ac:dyDescent="0.25">
      <c r="B44" s="413" t="s">
        <v>473</v>
      </c>
      <c r="C44" s="412" t="s">
        <v>474</v>
      </c>
    </row>
  </sheetData>
  <mergeCells count="14">
    <mergeCell ref="J7:J8"/>
    <mergeCell ref="K7:N7"/>
    <mergeCell ref="O7:O8"/>
    <mergeCell ref="P7:P8"/>
    <mergeCell ref="A1:P1"/>
    <mergeCell ref="A7:A8"/>
    <mergeCell ref="B7:B8"/>
    <mergeCell ref="C7:C8"/>
    <mergeCell ref="D7:D8"/>
    <mergeCell ref="E7:E8"/>
    <mergeCell ref="F7:F8"/>
    <mergeCell ref="G7:G8"/>
    <mergeCell ref="H7:H8"/>
    <mergeCell ref="I7:I8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K53"/>
  <sheetViews>
    <sheetView showGridLines="0" view="pageBreakPreview" topLeftCell="A34" zoomScale="85" zoomScaleNormal="100" zoomScaleSheetLayoutView="85" workbookViewId="0">
      <selection activeCell="D9" sqref="D9"/>
    </sheetView>
  </sheetViews>
  <sheetFormatPr baseColWidth="10" defaultRowHeight="15" x14ac:dyDescent="0.25"/>
  <cols>
    <col min="1" max="1" width="8.7109375" customWidth="1"/>
    <col min="2" max="2" width="39.85546875" customWidth="1"/>
    <col min="3" max="3" width="11.7109375" customWidth="1"/>
    <col min="4" max="7" width="13.85546875" customWidth="1"/>
    <col min="256" max="256" width="3.28515625" customWidth="1"/>
    <col min="257" max="257" width="44.5703125" customWidth="1"/>
    <col min="258" max="258" width="11.7109375" customWidth="1"/>
    <col min="259" max="260" width="14.42578125" customWidth="1"/>
    <col min="261" max="261" width="15" customWidth="1"/>
    <col min="262" max="263" width="14.42578125" customWidth="1"/>
    <col min="512" max="512" width="3.28515625" customWidth="1"/>
    <col min="513" max="513" width="44.5703125" customWidth="1"/>
    <col min="514" max="514" width="11.7109375" customWidth="1"/>
    <col min="515" max="516" width="14.42578125" customWidth="1"/>
    <col min="517" max="517" width="15" customWidth="1"/>
    <col min="518" max="519" width="14.42578125" customWidth="1"/>
    <col min="768" max="768" width="3.28515625" customWidth="1"/>
    <col min="769" max="769" width="44.5703125" customWidth="1"/>
    <col min="770" max="770" width="11.7109375" customWidth="1"/>
    <col min="771" max="772" width="14.42578125" customWidth="1"/>
    <col min="773" max="773" width="15" customWidth="1"/>
    <col min="774" max="775" width="14.42578125" customWidth="1"/>
    <col min="1024" max="1024" width="3.28515625" customWidth="1"/>
    <col min="1025" max="1025" width="44.5703125" customWidth="1"/>
    <col min="1026" max="1026" width="11.7109375" customWidth="1"/>
    <col min="1027" max="1028" width="14.42578125" customWidth="1"/>
    <col min="1029" max="1029" width="15" customWidth="1"/>
    <col min="1030" max="1031" width="14.42578125" customWidth="1"/>
    <col min="1280" max="1280" width="3.28515625" customWidth="1"/>
    <col min="1281" max="1281" width="44.5703125" customWidth="1"/>
    <col min="1282" max="1282" width="11.7109375" customWidth="1"/>
    <col min="1283" max="1284" width="14.42578125" customWidth="1"/>
    <col min="1285" max="1285" width="15" customWidth="1"/>
    <col min="1286" max="1287" width="14.42578125" customWidth="1"/>
    <col min="1536" max="1536" width="3.28515625" customWidth="1"/>
    <col min="1537" max="1537" width="44.5703125" customWidth="1"/>
    <col min="1538" max="1538" width="11.7109375" customWidth="1"/>
    <col min="1539" max="1540" width="14.42578125" customWidth="1"/>
    <col min="1541" max="1541" width="15" customWidth="1"/>
    <col min="1542" max="1543" width="14.42578125" customWidth="1"/>
    <col min="1792" max="1792" width="3.28515625" customWidth="1"/>
    <col min="1793" max="1793" width="44.5703125" customWidth="1"/>
    <col min="1794" max="1794" width="11.7109375" customWidth="1"/>
    <col min="1795" max="1796" width="14.42578125" customWidth="1"/>
    <col min="1797" max="1797" width="15" customWidth="1"/>
    <col min="1798" max="1799" width="14.42578125" customWidth="1"/>
    <col min="2048" max="2048" width="3.28515625" customWidth="1"/>
    <col min="2049" max="2049" width="44.5703125" customWidth="1"/>
    <col min="2050" max="2050" width="11.7109375" customWidth="1"/>
    <col min="2051" max="2052" width="14.42578125" customWidth="1"/>
    <col min="2053" max="2053" width="15" customWidth="1"/>
    <col min="2054" max="2055" width="14.42578125" customWidth="1"/>
    <col min="2304" max="2304" width="3.28515625" customWidth="1"/>
    <col min="2305" max="2305" width="44.5703125" customWidth="1"/>
    <col min="2306" max="2306" width="11.7109375" customWidth="1"/>
    <col min="2307" max="2308" width="14.42578125" customWidth="1"/>
    <col min="2309" max="2309" width="15" customWidth="1"/>
    <col min="2310" max="2311" width="14.42578125" customWidth="1"/>
    <col min="2560" max="2560" width="3.28515625" customWidth="1"/>
    <col min="2561" max="2561" width="44.5703125" customWidth="1"/>
    <col min="2562" max="2562" width="11.7109375" customWidth="1"/>
    <col min="2563" max="2564" width="14.42578125" customWidth="1"/>
    <col min="2565" max="2565" width="15" customWidth="1"/>
    <col min="2566" max="2567" width="14.42578125" customWidth="1"/>
    <col min="2816" max="2816" width="3.28515625" customWidth="1"/>
    <col min="2817" max="2817" width="44.5703125" customWidth="1"/>
    <col min="2818" max="2818" width="11.7109375" customWidth="1"/>
    <col min="2819" max="2820" width="14.42578125" customWidth="1"/>
    <col min="2821" max="2821" width="15" customWidth="1"/>
    <col min="2822" max="2823" width="14.42578125" customWidth="1"/>
    <col min="3072" max="3072" width="3.28515625" customWidth="1"/>
    <col min="3073" max="3073" width="44.5703125" customWidth="1"/>
    <col min="3074" max="3074" width="11.7109375" customWidth="1"/>
    <col min="3075" max="3076" width="14.42578125" customWidth="1"/>
    <col min="3077" max="3077" width="15" customWidth="1"/>
    <col min="3078" max="3079" width="14.42578125" customWidth="1"/>
    <col min="3328" max="3328" width="3.28515625" customWidth="1"/>
    <col min="3329" max="3329" width="44.5703125" customWidth="1"/>
    <col min="3330" max="3330" width="11.7109375" customWidth="1"/>
    <col min="3331" max="3332" width="14.42578125" customWidth="1"/>
    <col min="3333" max="3333" width="15" customWidth="1"/>
    <col min="3334" max="3335" width="14.42578125" customWidth="1"/>
    <col min="3584" max="3584" width="3.28515625" customWidth="1"/>
    <col min="3585" max="3585" width="44.5703125" customWidth="1"/>
    <col min="3586" max="3586" width="11.7109375" customWidth="1"/>
    <col min="3587" max="3588" width="14.42578125" customWidth="1"/>
    <col min="3589" max="3589" width="15" customWidth="1"/>
    <col min="3590" max="3591" width="14.42578125" customWidth="1"/>
    <col min="3840" max="3840" width="3.28515625" customWidth="1"/>
    <col min="3841" max="3841" width="44.5703125" customWidth="1"/>
    <col min="3842" max="3842" width="11.7109375" customWidth="1"/>
    <col min="3843" max="3844" width="14.42578125" customWidth="1"/>
    <col min="3845" max="3845" width="15" customWidth="1"/>
    <col min="3846" max="3847" width="14.42578125" customWidth="1"/>
    <col min="4096" max="4096" width="3.28515625" customWidth="1"/>
    <col min="4097" max="4097" width="44.5703125" customWidth="1"/>
    <col min="4098" max="4098" width="11.7109375" customWidth="1"/>
    <col min="4099" max="4100" width="14.42578125" customWidth="1"/>
    <col min="4101" max="4101" width="15" customWidth="1"/>
    <col min="4102" max="4103" width="14.42578125" customWidth="1"/>
    <col min="4352" max="4352" width="3.28515625" customWidth="1"/>
    <col min="4353" max="4353" width="44.5703125" customWidth="1"/>
    <col min="4354" max="4354" width="11.7109375" customWidth="1"/>
    <col min="4355" max="4356" width="14.42578125" customWidth="1"/>
    <col min="4357" max="4357" width="15" customWidth="1"/>
    <col min="4358" max="4359" width="14.42578125" customWidth="1"/>
    <col min="4608" max="4608" width="3.28515625" customWidth="1"/>
    <col min="4609" max="4609" width="44.5703125" customWidth="1"/>
    <col min="4610" max="4610" width="11.7109375" customWidth="1"/>
    <col min="4611" max="4612" width="14.42578125" customWidth="1"/>
    <col min="4613" max="4613" width="15" customWidth="1"/>
    <col min="4614" max="4615" width="14.42578125" customWidth="1"/>
    <col min="4864" max="4864" width="3.28515625" customWidth="1"/>
    <col min="4865" max="4865" width="44.5703125" customWidth="1"/>
    <col min="4866" max="4866" width="11.7109375" customWidth="1"/>
    <col min="4867" max="4868" width="14.42578125" customWidth="1"/>
    <col min="4869" max="4869" width="15" customWidth="1"/>
    <col min="4870" max="4871" width="14.42578125" customWidth="1"/>
    <col min="5120" max="5120" width="3.28515625" customWidth="1"/>
    <col min="5121" max="5121" width="44.5703125" customWidth="1"/>
    <col min="5122" max="5122" width="11.7109375" customWidth="1"/>
    <col min="5123" max="5124" width="14.42578125" customWidth="1"/>
    <col min="5125" max="5125" width="15" customWidth="1"/>
    <col min="5126" max="5127" width="14.42578125" customWidth="1"/>
    <col min="5376" max="5376" width="3.28515625" customWidth="1"/>
    <col min="5377" max="5377" width="44.5703125" customWidth="1"/>
    <col min="5378" max="5378" width="11.7109375" customWidth="1"/>
    <col min="5379" max="5380" width="14.42578125" customWidth="1"/>
    <col min="5381" max="5381" width="15" customWidth="1"/>
    <col min="5382" max="5383" width="14.42578125" customWidth="1"/>
    <col min="5632" max="5632" width="3.28515625" customWidth="1"/>
    <col min="5633" max="5633" width="44.5703125" customWidth="1"/>
    <col min="5634" max="5634" width="11.7109375" customWidth="1"/>
    <col min="5635" max="5636" width="14.42578125" customWidth="1"/>
    <col min="5637" max="5637" width="15" customWidth="1"/>
    <col min="5638" max="5639" width="14.42578125" customWidth="1"/>
    <col min="5888" max="5888" width="3.28515625" customWidth="1"/>
    <col min="5889" max="5889" width="44.5703125" customWidth="1"/>
    <col min="5890" max="5890" width="11.7109375" customWidth="1"/>
    <col min="5891" max="5892" width="14.42578125" customWidth="1"/>
    <col min="5893" max="5893" width="15" customWidth="1"/>
    <col min="5894" max="5895" width="14.42578125" customWidth="1"/>
    <col min="6144" max="6144" width="3.28515625" customWidth="1"/>
    <col min="6145" max="6145" width="44.5703125" customWidth="1"/>
    <col min="6146" max="6146" width="11.7109375" customWidth="1"/>
    <col min="6147" max="6148" width="14.42578125" customWidth="1"/>
    <col min="6149" max="6149" width="15" customWidth="1"/>
    <col min="6150" max="6151" width="14.42578125" customWidth="1"/>
    <col min="6400" max="6400" width="3.28515625" customWidth="1"/>
    <col min="6401" max="6401" width="44.5703125" customWidth="1"/>
    <col min="6402" max="6402" width="11.7109375" customWidth="1"/>
    <col min="6403" max="6404" width="14.42578125" customWidth="1"/>
    <col min="6405" max="6405" width="15" customWidth="1"/>
    <col min="6406" max="6407" width="14.42578125" customWidth="1"/>
    <col min="6656" max="6656" width="3.28515625" customWidth="1"/>
    <col min="6657" max="6657" width="44.5703125" customWidth="1"/>
    <col min="6658" max="6658" width="11.7109375" customWidth="1"/>
    <col min="6659" max="6660" width="14.42578125" customWidth="1"/>
    <col min="6661" max="6661" width="15" customWidth="1"/>
    <col min="6662" max="6663" width="14.42578125" customWidth="1"/>
    <col min="6912" max="6912" width="3.28515625" customWidth="1"/>
    <col min="6913" max="6913" width="44.5703125" customWidth="1"/>
    <col min="6914" max="6914" width="11.7109375" customWidth="1"/>
    <col min="6915" max="6916" width="14.42578125" customWidth="1"/>
    <col min="6917" max="6917" width="15" customWidth="1"/>
    <col min="6918" max="6919" width="14.42578125" customWidth="1"/>
    <col min="7168" max="7168" width="3.28515625" customWidth="1"/>
    <col min="7169" max="7169" width="44.5703125" customWidth="1"/>
    <col min="7170" max="7170" width="11.7109375" customWidth="1"/>
    <col min="7171" max="7172" width="14.42578125" customWidth="1"/>
    <col min="7173" max="7173" width="15" customWidth="1"/>
    <col min="7174" max="7175" width="14.42578125" customWidth="1"/>
    <col min="7424" max="7424" width="3.28515625" customWidth="1"/>
    <col min="7425" max="7425" width="44.5703125" customWidth="1"/>
    <col min="7426" max="7426" width="11.7109375" customWidth="1"/>
    <col min="7427" max="7428" width="14.42578125" customWidth="1"/>
    <col min="7429" max="7429" width="15" customWidth="1"/>
    <col min="7430" max="7431" width="14.42578125" customWidth="1"/>
    <col min="7680" max="7680" width="3.28515625" customWidth="1"/>
    <col min="7681" max="7681" width="44.5703125" customWidth="1"/>
    <col min="7682" max="7682" width="11.7109375" customWidth="1"/>
    <col min="7683" max="7684" width="14.42578125" customWidth="1"/>
    <col min="7685" max="7685" width="15" customWidth="1"/>
    <col min="7686" max="7687" width="14.42578125" customWidth="1"/>
    <col min="7936" max="7936" width="3.28515625" customWidth="1"/>
    <col min="7937" max="7937" width="44.5703125" customWidth="1"/>
    <col min="7938" max="7938" width="11.7109375" customWidth="1"/>
    <col min="7939" max="7940" width="14.42578125" customWidth="1"/>
    <col min="7941" max="7941" width="15" customWidth="1"/>
    <col min="7942" max="7943" width="14.42578125" customWidth="1"/>
    <col min="8192" max="8192" width="3.28515625" customWidth="1"/>
    <col min="8193" max="8193" width="44.5703125" customWidth="1"/>
    <col min="8194" max="8194" width="11.7109375" customWidth="1"/>
    <col min="8195" max="8196" width="14.42578125" customWidth="1"/>
    <col min="8197" max="8197" width="15" customWidth="1"/>
    <col min="8198" max="8199" width="14.42578125" customWidth="1"/>
    <col min="8448" max="8448" width="3.28515625" customWidth="1"/>
    <col min="8449" max="8449" width="44.5703125" customWidth="1"/>
    <col min="8450" max="8450" width="11.7109375" customWidth="1"/>
    <col min="8451" max="8452" width="14.42578125" customWidth="1"/>
    <col min="8453" max="8453" width="15" customWidth="1"/>
    <col min="8454" max="8455" width="14.42578125" customWidth="1"/>
    <col min="8704" max="8704" width="3.28515625" customWidth="1"/>
    <col min="8705" max="8705" width="44.5703125" customWidth="1"/>
    <col min="8706" max="8706" width="11.7109375" customWidth="1"/>
    <col min="8707" max="8708" width="14.42578125" customWidth="1"/>
    <col min="8709" max="8709" width="15" customWidth="1"/>
    <col min="8710" max="8711" width="14.42578125" customWidth="1"/>
    <col min="8960" max="8960" width="3.28515625" customWidth="1"/>
    <col min="8961" max="8961" width="44.5703125" customWidth="1"/>
    <col min="8962" max="8962" width="11.7109375" customWidth="1"/>
    <col min="8963" max="8964" width="14.42578125" customWidth="1"/>
    <col min="8965" max="8965" width="15" customWidth="1"/>
    <col min="8966" max="8967" width="14.42578125" customWidth="1"/>
    <col min="9216" max="9216" width="3.28515625" customWidth="1"/>
    <col min="9217" max="9217" width="44.5703125" customWidth="1"/>
    <col min="9218" max="9218" width="11.7109375" customWidth="1"/>
    <col min="9219" max="9220" width="14.42578125" customWidth="1"/>
    <col min="9221" max="9221" width="15" customWidth="1"/>
    <col min="9222" max="9223" width="14.42578125" customWidth="1"/>
    <col min="9472" max="9472" width="3.28515625" customWidth="1"/>
    <col min="9473" max="9473" width="44.5703125" customWidth="1"/>
    <col min="9474" max="9474" width="11.7109375" customWidth="1"/>
    <col min="9475" max="9476" width="14.42578125" customWidth="1"/>
    <col min="9477" max="9477" width="15" customWidth="1"/>
    <col min="9478" max="9479" width="14.42578125" customWidth="1"/>
    <col min="9728" max="9728" width="3.28515625" customWidth="1"/>
    <col min="9729" max="9729" width="44.5703125" customWidth="1"/>
    <col min="9730" max="9730" width="11.7109375" customWidth="1"/>
    <col min="9731" max="9732" width="14.42578125" customWidth="1"/>
    <col min="9733" max="9733" width="15" customWidth="1"/>
    <col min="9734" max="9735" width="14.42578125" customWidth="1"/>
    <col min="9984" max="9984" width="3.28515625" customWidth="1"/>
    <col min="9985" max="9985" width="44.5703125" customWidth="1"/>
    <col min="9986" max="9986" width="11.7109375" customWidth="1"/>
    <col min="9987" max="9988" width="14.42578125" customWidth="1"/>
    <col min="9989" max="9989" width="15" customWidth="1"/>
    <col min="9990" max="9991" width="14.42578125" customWidth="1"/>
    <col min="10240" max="10240" width="3.28515625" customWidth="1"/>
    <col min="10241" max="10241" width="44.5703125" customWidth="1"/>
    <col min="10242" max="10242" width="11.7109375" customWidth="1"/>
    <col min="10243" max="10244" width="14.42578125" customWidth="1"/>
    <col min="10245" max="10245" width="15" customWidth="1"/>
    <col min="10246" max="10247" width="14.42578125" customWidth="1"/>
    <col min="10496" max="10496" width="3.28515625" customWidth="1"/>
    <col min="10497" max="10497" width="44.5703125" customWidth="1"/>
    <col min="10498" max="10498" width="11.7109375" customWidth="1"/>
    <col min="10499" max="10500" width="14.42578125" customWidth="1"/>
    <col min="10501" max="10501" width="15" customWidth="1"/>
    <col min="10502" max="10503" width="14.42578125" customWidth="1"/>
    <col min="10752" max="10752" width="3.28515625" customWidth="1"/>
    <col min="10753" max="10753" width="44.5703125" customWidth="1"/>
    <col min="10754" max="10754" width="11.7109375" customWidth="1"/>
    <col min="10755" max="10756" width="14.42578125" customWidth="1"/>
    <col min="10757" max="10757" width="15" customWidth="1"/>
    <col min="10758" max="10759" width="14.42578125" customWidth="1"/>
    <col min="11008" max="11008" width="3.28515625" customWidth="1"/>
    <col min="11009" max="11009" width="44.5703125" customWidth="1"/>
    <col min="11010" max="11010" width="11.7109375" customWidth="1"/>
    <col min="11011" max="11012" width="14.42578125" customWidth="1"/>
    <col min="11013" max="11013" width="15" customWidth="1"/>
    <col min="11014" max="11015" width="14.42578125" customWidth="1"/>
    <col min="11264" max="11264" width="3.28515625" customWidth="1"/>
    <col min="11265" max="11265" width="44.5703125" customWidth="1"/>
    <col min="11266" max="11266" width="11.7109375" customWidth="1"/>
    <col min="11267" max="11268" width="14.42578125" customWidth="1"/>
    <col min="11269" max="11269" width="15" customWidth="1"/>
    <col min="11270" max="11271" width="14.42578125" customWidth="1"/>
    <col min="11520" max="11520" width="3.28515625" customWidth="1"/>
    <col min="11521" max="11521" width="44.5703125" customWidth="1"/>
    <col min="11522" max="11522" width="11.7109375" customWidth="1"/>
    <col min="11523" max="11524" width="14.42578125" customWidth="1"/>
    <col min="11525" max="11525" width="15" customWidth="1"/>
    <col min="11526" max="11527" width="14.42578125" customWidth="1"/>
    <col min="11776" max="11776" width="3.28515625" customWidth="1"/>
    <col min="11777" max="11777" width="44.5703125" customWidth="1"/>
    <col min="11778" max="11778" width="11.7109375" customWidth="1"/>
    <col min="11779" max="11780" width="14.42578125" customWidth="1"/>
    <col min="11781" max="11781" width="15" customWidth="1"/>
    <col min="11782" max="11783" width="14.42578125" customWidth="1"/>
    <col min="12032" max="12032" width="3.28515625" customWidth="1"/>
    <col min="12033" max="12033" width="44.5703125" customWidth="1"/>
    <col min="12034" max="12034" width="11.7109375" customWidth="1"/>
    <col min="12035" max="12036" width="14.42578125" customWidth="1"/>
    <col min="12037" max="12037" width="15" customWidth="1"/>
    <col min="12038" max="12039" width="14.42578125" customWidth="1"/>
    <col min="12288" max="12288" width="3.28515625" customWidth="1"/>
    <col min="12289" max="12289" width="44.5703125" customWidth="1"/>
    <col min="12290" max="12290" width="11.7109375" customWidth="1"/>
    <col min="12291" max="12292" width="14.42578125" customWidth="1"/>
    <col min="12293" max="12293" width="15" customWidth="1"/>
    <col min="12294" max="12295" width="14.42578125" customWidth="1"/>
    <col min="12544" max="12544" width="3.28515625" customWidth="1"/>
    <col min="12545" max="12545" width="44.5703125" customWidth="1"/>
    <col min="12546" max="12546" width="11.7109375" customWidth="1"/>
    <col min="12547" max="12548" width="14.42578125" customWidth="1"/>
    <col min="12549" max="12549" width="15" customWidth="1"/>
    <col min="12550" max="12551" width="14.42578125" customWidth="1"/>
    <col min="12800" max="12800" width="3.28515625" customWidth="1"/>
    <col min="12801" max="12801" width="44.5703125" customWidth="1"/>
    <col min="12802" max="12802" width="11.7109375" customWidth="1"/>
    <col min="12803" max="12804" width="14.42578125" customWidth="1"/>
    <col min="12805" max="12805" width="15" customWidth="1"/>
    <col min="12806" max="12807" width="14.42578125" customWidth="1"/>
    <col min="13056" max="13056" width="3.28515625" customWidth="1"/>
    <col min="13057" max="13057" width="44.5703125" customWidth="1"/>
    <col min="13058" max="13058" width="11.7109375" customWidth="1"/>
    <col min="13059" max="13060" width="14.42578125" customWidth="1"/>
    <col min="13061" max="13061" width="15" customWidth="1"/>
    <col min="13062" max="13063" width="14.42578125" customWidth="1"/>
    <col min="13312" max="13312" width="3.28515625" customWidth="1"/>
    <col min="13313" max="13313" width="44.5703125" customWidth="1"/>
    <col min="13314" max="13314" width="11.7109375" customWidth="1"/>
    <col min="13315" max="13316" width="14.42578125" customWidth="1"/>
    <col min="13317" max="13317" width="15" customWidth="1"/>
    <col min="13318" max="13319" width="14.42578125" customWidth="1"/>
    <col min="13568" max="13568" width="3.28515625" customWidth="1"/>
    <col min="13569" max="13569" width="44.5703125" customWidth="1"/>
    <col min="13570" max="13570" width="11.7109375" customWidth="1"/>
    <col min="13571" max="13572" width="14.42578125" customWidth="1"/>
    <col min="13573" max="13573" width="15" customWidth="1"/>
    <col min="13574" max="13575" width="14.42578125" customWidth="1"/>
    <col min="13824" max="13824" width="3.28515625" customWidth="1"/>
    <col min="13825" max="13825" width="44.5703125" customWidth="1"/>
    <col min="13826" max="13826" width="11.7109375" customWidth="1"/>
    <col min="13827" max="13828" width="14.42578125" customWidth="1"/>
    <col min="13829" max="13829" width="15" customWidth="1"/>
    <col min="13830" max="13831" width="14.42578125" customWidth="1"/>
    <col min="14080" max="14080" width="3.28515625" customWidth="1"/>
    <col min="14081" max="14081" width="44.5703125" customWidth="1"/>
    <col min="14082" max="14082" width="11.7109375" customWidth="1"/>
    <col min="14083" max="14084" width="14.42578125" customWidth="1"/>
    <col min="14085" max="14085" width="15" customWidth="1"/>
    <col min="14086" max="14087" width="14.42578125" customWidth="1"/>
    <col min="14336" max="14336" width="3.28515625" customWidth="1"/>
    <col min="14337" max="14337" width="44.5703125" customWidth="1"/>
    <col min="14338" max="14338" width="11.7109375" customWidth="1"/>
    <col min="14339" max="14340" width="14.42578125" customWidth="1"/>
    <col min="14341" max="14341" width="15" customWidth="1"/>
    <col min="14342" max="14343" width="14.42578125" customWidth="1"/>
    <col min="14592" max="14592" width="3.28515625" customWidth="1"/>
    <col min="14593" max="14593" width="44.5703125" customWidth="1"/>
    <col min="14594" max="14594" width="11.7109375" customWidth="1"/>
    <col min="14595" max="14596" width="14.42578125" customWidth="1"/>
    <col min="14597" max="14597" width="15" customWidth="1"/>
    <col min="14598" max="14599" width="14.42578125" customWidth="1"/>
    <col min="14848" max="14848" width="3.28515625" customWidth="1"/>
    <col min="14849" max="14849" width="44.5703125" customWidth="1"/>
    <col min="14850" max="14850" width="11.7109375" customWidth="1"/>
    <col min="14851" max="14852" width="14.42578125" customWidth="1"/>
    <col min="14853" max="14853" width="15" customWidth="1"/>
    <col min="14854" max="14855" width="14.42578125" customWidth="1"/>
    <col min="15104" max="15104" width="3.28515625" customWidth="1"/>
    <col min="15105" max="15105" width="44.5703125" customWidth="1"/>
    <col min="15106" max="15106" width="11.7109375" customWidth="1"/>
    <col min="15107" max="15108" width="14.42578125" customWidth="1"/>
    <col min="15109" max="15109" width="15" customWidth="1"/>
    <col min="15110" max="15111" width="14.42578125" customWidth="1"/>
    <col min="15360" max="15360" width="3.28515625" customWidth="1"/>
    <col min="15361" max="15361" width="44.5703125" customWidth="1"/>
    <col min="15362" max="15362" width="11.7109375" customWidth="1"/>
    <col min="15363" max="15364" width="14.42578125" customWidth="1"/>
    <col min="15365" max="15365" width="15" customWidth="1"/>
    <col min="15366" max="15367" width="14.42578125" customWidth="1"/>
    <col min="15616" max="15616" width="3.28515625" customWidth="1"/>
    <col min="15617" max="15617" width="44.5703125" customWidth="1"/>
    <col min="15618" max="15618" width="11.7109375" customWidth="1"/>
    <col min="15619" max="15620" width="14.42578125" customWidth="1"/>
    <col min="15621" max="15621" width="15" customWidth="1"/>
    <col min="15622" max="15623" width="14.42578125" customWidth="1"/>
    <col min="15872" max="15872" width="3.28515625" customWidth="1"/>
    <col min="15873" max="15873" width="44.5703125" customWidth="1"/>
    <col min="15874" max="15874" width="11.7109375" customWidth="1"/>
    <col min="15875" max="15876" width="14.42578125" customWidth="1"/>
    <col min="15877" max="15877" width="15" customWidth="1"/>
    <col min="15878" max="15879" width="14.42578125" customWidth="1"/>
    <col min="16128" max="16128" width="3.28515625" customWidth="1"/>
    <col min="16129" max="16129" width="44.5703125" customWidth="1"/>
    <col min="16130" max="16130" width="11.7109375" customWidth="1"/>
    <col min="16131" max="16132" width="14.42578125" customWidth="1"/>
    <col min="16133" max="16133" width="15" customWidth="1"/>
    <col min="16134" max="16135" width="14.42578125" customWidth="1"/>
  </cols>
  <sheetData>
    <row r="1" spans="1:8" ht="20.25" x14ac:dyDescent="0.3">
      <c r="A1" s="483" t="s">
        <v>521</v>
      </c>
      <c r="B1" s="483"/>
      <c r="C1" s="483"/>
      <c r="D1" s="483"/>
      <c r="E1" s="483"/>
      <c r="F1" s="483"/>
      <c r="G1" s="483"/>
      <c r="H1" s="257"/>
    </row>
    <row r="2" spans="1:8" ht="20.25" x14ac:dyDescent="0.3">
      <c r="A2" s="415"/>
      <c r="B2" s="415"/>
      <c r="C2" s="415"/>
      <c r="D2" s="415"/>
      <c r="E2" s="415"/>
      <c r="F2" s="415"/>
      <c r="G2" s="415"/>
      <c r="H2" s="257"/>
    </row>
    <row r="3" spans="1:8" ht="15.75" x14ac:dyDescent="0.25">
      <c r="B3" s="351" t="s">
        <v>475</v>
      </c>
      <c r="C3" s="257"/>
      <c r="D3" s="257"/>
      <c r="E3" s="257"/>
      <c r="F3" s="257"/>
      <c r="G3" s="261"/>
      <c r="H3" s="257"/>
    </row>
    <row r="4" spans="1:8" ht="15.75" x14ac:dyDescent="0.25">
      <c r="B4" s="260" t="s">
        <v>476</v>
      </c>
      <c r="C4" s="261" t="s">
        <v>477</v>
      </c>
      <c r="D4" s="257"/>
      <c r="E4" s="257"/>
      <c r="F4" s="257"/>
      <c r="G4" s="261"/>
      <c r="H4" s="257"/>
    </row>
    <row r="5" spans="1:8" ht="15.75" x14ac:dyDescent="0.25">
      <c r="A5" s="260"/>
      <c r="B5" s="257"/>
      <c r="C5" s="257"/>
      <c r="D5" s="257"/>
      <c r="E5" s="257"/>
      <c r="F5" s="257"/>
      <c r="G5" s="261"/>
      <c r="H5" s="257"/>
    </row>
    <row r="6" spans="1:8" ht="15.75" customHeight="1" x14ac:dyDescent="0.25">
      <c r="A6" s="525" t="s">
        <v>531</v>
      </c>
      <c r="B6" s="485" t="str">
        <f>+Planilla!B5</f>
        <v>INSPECCIÓN DETALLADA y DIAGNOSTICO ESTRUCTURAL DE OBRAS DE ARTE AMBA - LINEA MITRE-ETAPA 1</v>
      </c>
      <c r="C6" s="485"/>
      <c r="D6" s="485"/>
      <c r="E6" s="485"/>
      <c r="F6" s="485"/>
      <c r="G6" s="485"/>
      <c r="H6" s="257"/>
    </row>
    <row r="7" spans="1:8" ht="15.75" x14ac:dyDescent="0.25">
      <c r="A7" s="388"/>
      <c r="B7" s="485"/>
      <c r="C7" s="485"/>
      <c r="D7" s="485"/>
      <c r="E7" s="485"/>
      <c r="F7" s="485"/>
      <c r="G7" s="485"/>
      <c r="H7" s="257"/>
    </row>
    <row r="8" spans="1:8" ht="15.75" x14ac:dyDescent="0.25">
      <c r="A8" s="388" t="str">
        <f>+Planilla!A6</f>
        <v>PET</v>
      </c>
      <c r="B8" s="388" t="str">
        <f>+Planilla!B6</f>
        <v>MT-VO-ET-073   Rev.: 0</v>
      </c>
      <c r="C8" s="257"/>
      <c r="D8" s="257"/>
      <c r="E8" s="257"/>
      <c r="F8" s="257"/>
      <c r="G8" s="261"/>
      <c r="H8" s="257"/>
    </row>
    <row r="10" spans="1:8" ht="25.5" customHeight="1" x14ac:dyDescent="0.25">
      <c r="A10" s="416" t="s">
        <v>478</v>
      </c>
      <c r="B10" s="417" t="s">
        <v>479</v>
      </c>
      <c r="C10" s="418"/>
      <c r="D10" s="419" t="s">
        <v>480</v>
      </c>
      <c r="E10" s="419" t="s">
        <v>110</v>
      </c>
      <c r="F10" s="419" t="s">
        <v>481</v>
      </c>
      <c r="G10" s="419" t="s">
        <v>108</v>
      </c>
      <c r="H10" s="309"/>
    </row>
    <row r="11" spans="1:8" ht="12.75" customHeight="1" x14ac:dyDescent="0.25">
      <c r="A11" s="420">
        <v>1</v>
      </c>
      <c r="B11" s="421" t="s">
        <v>482</v>
      </c>
      <c r="C11" s="422"/>
      <c r="D11" s="423"/>
      <c r="E11" s="424"/>
      <c r="F11" s="424"/>
      <c r="G11" s="425"/>
      <c r="H11" s="309"/>
    </row>
    <row r="12" spans="1:8" ht="12.75" customHeight="1" x14ac:dyDescent="0.25">
      <c r="A12" s="420">
        <v>2</v>
      </c>
      <c r="B12" s="421" t="s">
        <v>483</v>
      </c>
      <c r="C12" s="422"/>
      <c r="D12" s="423"/>
      <c r="E12" s="424"/>
      <c r="F12" s="424"/>
      <c r="G12" s="425"/>
      <c r="H12" s="309"/>
    </row>
    <row r="13" spans="1:8" x14ac:dyDescent="0.25">
      <c r="A13" s="426">
        <v>3</v>
      </c>
      <c r="B13" s="427" t="s">
        <v>484</v>
      </c>
      <c r="C13" s="428" t="s">
        <v>485</v>
      </c>
      <c r="D13" s="429">
        <f>(D11+D12)*180</f>
        <v>0</v>
      </c>
      <c r="E13" s="430">
        <f>(E11+E12)*180</f>
        <v>0</v>
      </c>
      <c r="F13" s="430">
        <f>(F11+F12)*180</f>
        <v>0</v>
      </c>
      <c r="G13" s="431">
        <f>(G11+G12)*180</f>
        <v>0</v>
      </c>
    </row>
    <row r="14" spans="1:8" x14ac:dyDescent="0.25">
      <c r="A14" s="420">
        <v>4</v>
      </c>
      <c r="B14" s="427" t="s">
        <v>486</v>
      </c>
      <c r="C14" s="432">
        <v>0.01</v>
      </c>
      <c r="D14" s="429">
        <f>D13*$C$14</f>
        <v>0</v>
      </c>
      <c r="E14" s="430">
        <f>E13*$C$14</f>
        <v>0</v>
      </c>
      <c r="F14" s="430">
        <f>F13*$C$14</f>
        <v>0</v>
      </c>
      <c r="G14" s="431">
        <f>G13*$C$14</f>
        <v>0</v>
      </c>
    </row>
    <row r="15" spans="1:8" x14ac:dyDescent="0.25">
      <c r="A15" s="426">
        <v>5</v>
      </c>
      <c r="B15" s="427" t="s">
        <v>487</v>
      </c>
      <c r="C15" s="432">
        <v>0.15</v>
      </c>
      <c r="D15" s="429">
        <f>D13*$C$15</f>
        <v>0</v>
      </c>
      <c r="E15" s="430">
        <f>E13*$C$15</f>
        <v>0</v>
      </c>
      <c r="F15" s="430">
        <f>F13*$C$15</f>
        <v>0</v>
      </c>
      <c r="G15" s="431">
        <f>G13*$C$15</f>
        <v>0</v>
      </c>
    </row>
    <row r="16" spans="1:8" x14ac:dyDescent="0.25">
      <c r="A16" s="420">
        <v>6</v>
      </c>
      <c r="B16" s="427" t="s">
        <v>488</v>
      </c>
      <c r="C16" s="433" t="s">
        <v>489</v>
      </c>
      <c r="D16" s="429"/>
      <c r="E16" s="430"/>
      <c r="F16" s="430"/>
      <c r="G16" s="431"/>
    </row>
    <row r="17" spans="1:7" x14ac:dyDescent="0.25">
      <c r="A17" s="426">
        <v>7</v>
      </c>
      <c r="B17" s="427" t="s">
        <v>490</v>
      </c>
      <c r="C17" s="428"/>
      <c r="D17" s="429">
        <f>D13*0.08</f>
        <v>0</v>
      </c>
      <c r="E17" s="430">
        <f>E13*0.08</f>
        <v>0</v>
      </c>
      <c r="F17" s="430">
        <f>F13*0.08</f>
        <v>0</v>
      </c>
      <c r="G17" s="431">
        <f>G13*0.08</f>
        <v>0</v>
      </c>
    </row>
    <row r="18" spans="1:7" x14ac:dyDescent="0.25">
      <c r="A18" s="420">
        <v>8</v>
      </c>
      <c r="B18" s="427" t="s">
        <v>491</v>
      </c>
      <c r="C18" s="428"/>
      <c r="D18" s="429">
        <f>D13*0.2</f>
        <v>0</v>
      </c>
      <c r="E18" s="430">
        <f>E13*0.2</f>
        <v>0</v>
      </c>
      <c r="F18" s="430">
        <f>F13*0.2</f>
        <v>0</v>
      </c>
      <c r="G18" s="431">
        <f>G13*0.2</f>
        <v>0</v>
      </c>
    </row>
    <row r="19" spans="1:7" x14ac:dyDescent="0.25">
      <c r="A19" s="426">
        <v>9</v>
      </c>
      <c r="B19" s="434" t="s">
        <v>492</v>
      </c>
      <c r="C19" s="435"/>
      <c r="D19" s="436">
        <f>SUM(D13:D18)</f>
        <v>0</v>
      </c>
      <c r="E19" s="437">
        <f>SUM(E13:E18)</f>
        <v>0</v>
      </c>
      <c r="F19" s="437">
        <f>SUM(F13:F18)</f>
        <v>0</v>
      </c>
      <c r="G19" s="438">
        <f>SUM(G13:G18)</f>
        <v>0</v>
      </c>
    </row>
    <row r="20" spans="1:7" x14ac:dyDescent="0.25">
      <c r="A20" s="420">
        <v>10</v>
      </c>
      <c r="B20" s="427" t="s">
        <v>493</v>
      </c>
      <c r="C20" s="432">
        <v>0.11</v>
      </c>
      <c r="D20" s="429">
        <f>D19*$C$20</f>
        <v>0</v>
      </c>
      <c r="E20" s="430">
        <f>E19*$C$20</f>
        <v>0</v>
      </c>
      <c r="F20" s="430">
        <f>F19*$C$20</f>
        <v>0</v>
      </c>
      <c r="G20" s="431">
        <f>G19*$C$20</f>
        <v>0</v>
      </c>
    </row>
    <row r="21" spans="1:7" x14ac:dyDescent="0.25">
      <c r="A21" s="426">
        <v>11</v>
      </c>
      <c r="B21" s="427" t="s">
        <v>494</v>
      </c>
      <c r="C21" s="432">
        <v>0.03</v>
      </c>
      <c r="D21" s="429">
        <f>D19*$C$21</f>
        <v>0</v>
      </c>
      <c r="E21" s="430">
        <f>E19*$C$21</f>
        <v>0</v>
      </c>
      <c r="F21" s="430">
        <f>F19*$C$21</f>
        <v>0</v>
      </c>
      <c r="G21" s="431">
        <f>G19*$C$21</f>
        <v>0</v>
      </c>
    </row>
    <row r="22" spans="1:7" x14ac:dyDescent="0.25">
      <c r="A22" s="420">
        <v>12</v>
      </c>
      <c r="B22" s="427" t="s">
        <v>495</v>
      </c>
      <c r="C22" s="439">
        <v>4.4999999999999997E-3</v>
      </c>
      <c r="D22" s="429">
        <f>D19*$C$22</f>
        <v>0</v>
      </c>
      <c r="E22" s="430">
        <f>E19*$C$22</f>
        <v>0</v>
      </c>
      <c r="F22" s="430">
        <f>F19*$C$22</f>
        <v>0</v>
      </c>
      <c r="G22" s="431">
        <f>G19*$C$22</f>
        <v>0</v>
      </c>
    </row>
    <row r="23" spans="1:7" x14ac:dyDescent="0.25">
      <c r="A23" s="426">
        <v>13</v>
      </c>
      <c r="B23" s="427" t="s">
        <v>496</v>
      </c>
      <c r="C23" s="439">
        <v>2.5499999999999998E-2</v>
      </c>
      <c r="D23" s="429">
        <f>D19*$C$23</f>
        <v>0</v>
      </c>
      <c r="E23" s="430">
        <f>E19*$C$23</f>
        <v>0</v>
      </c>
      <c r="F23" s="430">
        <f>F19*$C$23</f>
        <v>0</v>
      </c>
      <c r="G23" s="431">
        <f>G19*$C$23</f>
        <v>0</v>
      </c>
    </row>
    <row r="24" spans="1:7" x14ac:dyDescent="0.25">
      <c r="A24" s="420">
        <v>14</v>
      </c>
      <c r="B24" s="427" t="s">
        <v>497</v>
      </c>
      <c r="C24" s="428"/>
      <c r="D24" s="429">
        <f>D19*0.04</f>
        <v>0</v>
      </c>
      <c r="E24" s="430">
        <f>E19*0.04</f>
        <v>0</v>
      </c>
      <c r="F24" s="430">
        <f>F19*0.04</f>
        <v>0</v>
      </c>
      <c r="G24" s="431">
        <f>G19*0.04</f>
        <v>0</v>
      </c>
    </row>
    <row r="25" spans="1:7" x14ac:dyDescent="0.25">
      <c r="A25" s="426">
        <v>15</v>
      </c>
      <c r="B25" s="434" t="s">
        <v>498</v>
      </c>
      <c r="C25" s="435"/>
      <c r="D25" s="436">
        <f>D19-SUM(D20:D24)</f>
        <v>0</v>
      </c>
      <c r="E25" s="437">
        <f>E19-SUM(E20:E24)</f>
        <v>0</v>
      </c>
      <c r="F25" s="437">
        <f>F19-SUM(F20:F24)</f>
        <v>0</v>
      </c>
      <c r="G25" s="438">
        <f>G19-SUM(G20:G24)</f>
        <v>0</v>
      </c>
    </row>
    <row r="26" spans="1:7" ht="30" x14ac:dyDescent="0.25">
      <c r="A26" s="420">
        <v>16</v>
      </c>
      <c r="B26" s="427" t="s">
        <v>499</v>
      </c>
      <c r="C26" s="439">
        <v>0.1017</v>
      </c>
      <c r="D26" s="429">
        <f>D25*$C$26</f>
        <v>0</v>
      </c>
      <c r="E26" s="430">
        <f>E25*$C$26</f>
        <v>0</v>
      </c>
      <c r="F26" s="430">
        <f>F25*$C$26</f>
        <v>0</v>
      </c>
      <c r="G26" s="431">
        <f>G25*$C$26</f>
        <v>0</v>
      </c>
    </row>
    <row r="27" spans="1:7" x14ac:dyDescent="0.25">
      <c r="A27" s="426">
        <v>17</v>
      </c>
      <c r="B27" s="427" t="s">
        <v>500</v>
      </c>
      <c r="C27" s="439">
        <v>1.4999999999999999E-2</v>
      </c>
      <c r="D27" s="429">
        <f>D25*$C$27</f>
        <v>0</v>
      </c>
      <c r="E27" s="430">
        <f>E25*$C$27</f>
        <v>0</v>
      </c>
      <c r="F27" s="430">
        <f>F25*$C$27</f>
        <v>0</v>
      </c>
      <c r="G27" s="431">
        <f>G25*$C$27</f>
        <v>0</v>
      </c>
    </row>
    <row r="28" spans="1:7" x14ac:dyDescent="0.25">
      <c r="A28" s="420">
        <v>18</v>
      </c>
      <c r="B28" s="427" t="s">
        <v>501</v>
      </c>
      <c r="C28" s="439">
        <v>4.4400000000000002E-2</v>
      </c>
      <c r="D28" s="429">
        <f>D25*$C$28</f>
        <v>0</v>
      </c>
      <c r="E28" s="430">
        <f>E25*$C$28</f>
        <v>0</v>
      </c>
      <c r="F28" s="430">
        <f>F25*$C$28</f>
        <v>0</v>
      </c>
      <c r="G28" s="431">
        <f>G25*$C$28</f>
        <v>0</v>
      </c>
    </row>
    <row r="29" spans="1:7" x14ac:dyDescent="0.25">
      <c r="A29" s="426">
        <v>19</v>
      </c>
      <c r="B29" s="427" t="s">
        <v>502</v>
      </c>
      <c r="C29" s="439">
        <v>8.8999999999999999E-3</v>
      </c>
      <c r="D29" s="429">
        <f>D25*$C$29</f>
        <v>0</v>
      </c>
      <c r="E29" s="430">
        <f>E25*$C$29</f>
        <v>0</v>
      </c>
      <c r="F29" s="430">
        <f>F25*$C$29</f>
        <v>0</v>
      </c>
      <c r="G29" s="431">
        <f>G25*$C$29</f>
        <v>0</v>
      </c>
    </row>
    <row r="30" spans="1:7" x14ac:dyDescent="0.25">
      <c r="A30" s="420">
        <v>20</v>
      </c>
      <c r="B30" s="427" t="s">
        <v>503</v>
      </c>
      <c r="C30" s="432">
        <v>0.06</v>
      </c>
      <c r="D30" s="429">
        <f>D25*$C$30</f>
        <v>0</v>
      </c>
      <c r="E30" s="430">
        <f>E25*$C$30</f>
        <v>0</v>
      </c>
      <c r="F30" s="430">
        <f>F25*$C$30</f>
        <v>0</v>
      </c>
      <c r="G30" s="431">
        <f>G25*$C$30</f>
        <v>0</v>
      </c>
    </row>
    <row r="31" spans="1:7" x14ac:dyDescent="0.25">
      <c r="A31" s="426">
        <v>21</v>
      </c>
      <c r="B31" s="427" t="s">
        <v>504</v>
      </c>
      <c r="C31" s="432">
        <v>0.08</v>
      </c>
      <c r="D31" s="429">
        <f>D25*$C$31</f>
        <v>0</v>
      </c>
      <c r="E31" s="430">
        <f>E25*$C$31</f>
        <v>0</v>
      </c>
      <c r="F31" s="430">
        <f>F25*$C$31</f>
        <v>0</v>
      </c>
      <c r="G31" s="431">
        <f>G25*$C$31</f>
        <v>0</v>
      </c>
    </row>
    <row r="32" spans="1:7" ht="30" x14ac:dyDescent="0.25">
      <c r="A32" s="420">
        <v>22</v>
      </c>
      <c r="B32" s="427" t="s">
        <v>505</v>
      </c>
      <c r="C32" s="440">
        <v>2E-3</v>
      </c>
      <c r="D32" s="429">
        <f>D25*$C$32</f>
        <v>0</v>
      </c>
      <c r="E32" s="430">
        <f>E25*$C$32</f>
        <v>0</v>
      </c>
      <c r="F32" s="430">
        <f>F25*$C$32</f>
        <v>0</v>
      </c>
      <c r="G32" s="431">
        <f>G25*$C$32</f>
        <v>0</v>
      </c>
    </row>
    <row r="33" spans="1:11" x14ac:dyDescent="0.25">
      <c r="A33" s="426">
        <v>23</v>
      </c>
      <c r="B33" s="427" t="s">
        <v>506</v>
      </c>
      <c r="C33" s="439">
        <v>6.4600000000000005E-2</v>
      </c>
      <c r="D33" s="429">
        <f>D25*$C$33</f>
        <v>0</v>
      </c>
      <c r="E33" s="430">
        <f>E25*$C$33</f>
        <v>0</v>
      </c>
      <c r="F33" s="430">
        <f>F25*$C$33</f>
        <v>0</v>
      </c>
      <c r="G33" s="431">
        <f>G25*$C$33</f>
        <v>0</v>
      </c>
    </row>
    <row r="34" spans="1:11" x14ac:dyDescent="0.25">
      <c r="A34" s="420">
        <v>24</v>
      </c>
      <c r="B34" s="427" t="s">
        <v>507</v>
      </c>
      <c r="C34" s="432">
        <v>0.13</v>
      </c>
      <c r="D34" s="429">
        <f>D25*$C$34</f>
        <v>0</v>
      </c>
      <c r="E34" s="430">
        <f>E25*$C$34</f>
        <v>0</v>
      </c>
      <c r="F34" s="430">
        <f>F25*$C$34</f>
        <v>0</v>
      </c>
      <c r="G34" s="431">
        <f>G25*$C$34</f>
        <v>0</v>
      </c>
    </row>
    <row r="35" spans="1:11" x14ac:dyDescent="0.25">
      <c r="A35" s="426">
        <v>25</v>
      </c>
      <c r="B35" s="427" t="s">
        <v>508</v>
      </c>
      <c r="C35" s="432">
        <v>7.0000000000000007E-2</v>
      </c>
      <c r="D35" s="429">
        <f>D25*$C$35</f>
        <v>0</v>
      </c>
      <c r="E35" s="430">
        <f>E25*$C$35</f>
        <v>0</v>
      </c>
      <c r="F35" s="430">
        <f>F25*$C$35</f>
        <v>0</v>
      </c>
      <c r="G35" s="431">
        <f>G25*$C$35</f>
        <v>0</v>
      </c>
    </row>
    <row r="36" spans="1:11" x14ac:dyDescent="0.25">
      <c r="A36" s="420">
        <v>26</v>
      </c>
      <c r="B36" s="427" t="s">
        <v>509</v>
      </c>
      <c r="C36" s="432">
        <v>0.03</v>
      </c>
      <c r="D36" s="429">
        <f>D25*$C$36</f>
        <v>0</v>
      </c>
      <c r="E36" s="430">
        <f>E25*$C$36</f>
        <v>0</v>
      </c>
      <c r="F36" s="430">
        <f>F25*$C$36</f>
        <v>0</v>
      </c>
      <c r="G36" s="431">
        <f>G25*$C$36</f>
        <v>0</v>
      </c>
    </row>
    <row r="37" spans="1:11" x14ac:dyDescent="0.25">
      <c r="A37" s="426">
        <v>27</v>
      </c>
      <c r="B37" s="427" t="s">
        <v>510</v>
      </c>
      <c r="C37" s="439">
        <v>8.0000000000000002E-3</v>
      </c>
      <c r="D37" s="429">
        <f>D25*$C$37</f>
        <v>0</v>
      </c>
      <c r="E37" s="430">
        <f>E25*$C$37</f>
        <v>0</v>
      </c>
      <c r="F37" s="430">
        <f>F25*$C$37</f>
        <v>0</v>
      </c>
      <c r="G37" s="431">
        <f>G25*$C$37</f>
        <v>0</v>
      </c>
    </row>
    <row r="38" spans="1:11" x14ac:dyDescent="0.25">
      <c r="A38" s="420">
        <v>28</v>
      </c>
      <c r="B38" s="427" t="s">
        <v>511</v>
      </c>
      <c r="C38" s="439">
        <v>0.1094</v>
      </c>
      <c r="D38" s="429">
        <f>D25*$C$38</f>
        <v>0</v>
      </c>
      <c r="E38" s="430">
        <f>E25*$C$38</f>
        <v>0</v>
      </c>
      <c r="F38" s="430">
        <f>F25*$C$38</f>
        <v>0</v>
      </c>
      <c r="G38" s="431">
        <f>G25*$C$38</f>
        <v>0</v>
      </c>
    </row>
    <row r="39" spans="1:11" x14ac:dyDescent="0.25">
      <c r="A39" s="441">
        <v>29</v>
      </c>
      <c r="B39" s="434" t="s">
        <v>512</v>
      </c>
      <c r="C39" s="428"/>
      <c r="D39" s="436">
        <f>SUM(D25:D38)</f>
        <v>0</v>
      </c>
      <c r="E39" s="437">
        <f>SUM(E25:E38)</f>
        <v>0</v>
      </c>
      <c r="F39" s="437">
        <f>SUM(F25:F38)</f>
        <v>0</v>
      </c>
      <c r="G39" s="438">
        <f>SUM(G25:G38)</f>
        <v>0</v>
      </c>
    </row>
    <row r="40" spans="1:11" x14ac:dyDescent="0.25">
      <c r="A40" s="420">
        <v>30</v>
      </c>
      <c r="B40" s="421" t="s">
        <v>513</v>
      </c>
      <c r="C40" s="428"/>
      <c r="D40" s="442">
        <f>D13*0.1</f>
        <v>0</v>
      </c>
      <c r="E40" s="443">
        <f>E13*0.1</f>
        <v>0</v>
      </c>
      <c r="F40" s="443">
        <f>F13*0.1</f>
        <v>0</v>
      </c>
      <c r="G40" s="444">
        <f>G13*0.1</f>
        <v>0</v>
      </c>
      <c r="K40" s="445"/>
    </row>
    <row r="41" spans="1:11" x14ac:dyDescent="0.25">
      <c r="A41" s="426">
        <v>31</v>
      </c>
      <c r="B41" s="434" t="s">
        <v>514</v>
      </c>
      <c r="C41" s="435"/>
      <c r="D41" s="446">
        <f>SUM(D39:D40)</f>
        <v>0</v>
      </c>
      <c r="E41" s="447">
        <f>SUM(E39:E40)</f>
        <v>0</v>
      </c>
      <c r="F41" s="447">
        <f>SUM(F39:F40)</f>
        <v>0</v>
      </c>
      <c r="G41" s="448">
        <f>SUM(G39:G40)</f>
        <v>0</v>
      </c>
    </row>
    <row r="42" spans="1:11" x14ac:dyDescent="0.25">
      <c r="A42" s="449">
        <v>32</v>
      </c>
      <c r="B42" s="450" t="s">
        <v>515</v>
      </c>
      <c r="C42" s="451" t="s">
        <v>485</v>
      </c>
      <c r="D42" s="452">
        <f>D41/180</f>
        <v>0</v>
      </c>
      <c r="E42" s="452">
        <f>E41/180</f>
        <v>0</v>
      </c>
      <c r="F42" s="452">
        <f>F41/180</f>
        <v>0</v>
      </c>
      <c r="G42" s="452">
        <f>G41/180</f>
        <v>0</v>
      </c>
    </row>
    <row r="43" spans="1:11" x14ac:dyDescent="0.25">
      <c r="A43" s="453"/>
      <c r="D43" s="454"/>
      <c r="E43" s="454"/>
      <c r="F43" s="454"/>
      <c r="G43" s="454"/>
    </row>
    <row r="44" spans="1:11" x14ac:dyDescent="0.25">
      <c r="A44" s="453"/>
      <c r="D44" s="454"/>
      <c r="E44" s="454"/>
      <c r="F44" s="454"/>
      <c r="G44" s="454"/>
    </row>
    <row r="45" spans="1:11" ht="33.75" customHeight="1" x14ac:dyDescent="0.25">
      <c r="A45" s="453"/>
      <c r="B45" s="484" t="s">
        <v>516</v>
      </c>
      <c r="C45" s="484"/>
      <c r="D45" s="484"/>
      <c r="E45" s="484"/>
      <c r="F45" s="484"/>
      <c r="G45" s="484"/>
    </row>
    <row r="46" spans="1:11" x14ac:dyDescent="0.25">
      <c r="A46" s="453"/>
      <c r="D46" s="454"/>
      <c r="E46" s="454"/>
      <c r="F46" s="454"/>
      <c r="G46" s="454"/>
    </row>
    <row r="47" spans="1:11" x14ac:dyDescent="0.25">
      <c r="A47" s="453"/>
      <c r="D47" s="454"/>
      <c r="E47" s="454"/>
      <c r="F47" s="454"/>
      <c r="G47" s="454"/>
    </row>
    <row r="48" spans="1:11" x14ac:dyDescent="0.25">
      <c r="A48" s="453"/>
      <c r="D48" s="455"/>
      <c r="E48" s="455"/>
      <c r="F48" s="455"/>
      <c r="G48" s="455"/>
    </row>
    <row r="49" spans="1:7" x14ac:dyDescent="0.25">
      <c r="A49" s="453"/>
      <c r="D49" s="455"/>
      <c r="E49" s="455"/>
      <c r="F49" s="455"/>
      <c r="G49" s="455"/>
    </row>
    <row r="50" spans="1:7" x14ac:dyDescent="0.25">
      <c r="A50" s="453"/>
    </row>
    <row r="51" spans="1:7" x14ac:dyDescent="0.25">
      <c r="A51" s="453"/>
    </row>
    <row r="52" spans="1:7" x14ac:dyDescent="0.25">
      <c r="A52" s="453"/>
    </row>
    <row r="53" spans="1:7" x14ac:dyDescent="0.25">
      <c r="A53" s="453"/>
    </row>
  </sheetData>
  <mergeCells count="3">
    <mergeCell ref="A1:G1"/>
    <mergeCell ref="B45:G45"/>
    <mergeCell ref="B6:G7"/>
  </mergeCells>
  <pageMargins left="0.70866141732283472" right="0.70866141732283472" top="0.74803149606299213" bottom="0.74803149606299213" header="0.31496062992125984" footer="0.31496062992125984"/>
  <pageSetup paperSize="9" scale="74" orientation="portrait" r:id="rId1"/>
  <colBreaks count="1" manualBreakCount="1">
    <brk id="7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  <pageSetUpPr fitToPage="1"/>
  </sheetPr>
  <dimension ref="A2:K30"/>
  <sheetViews>
    <sheetView showGridLines="0" zoomScale="115" zoomScaleNormal="115" zoomScaleSheetLayoutView="115" workbookViewId="0">
      <selection activeCell="F30" sqref="A1:F30"/>
    </sheetView>
  </sheetViews>
  <sheetFormatPr baseColWidth="10" defaultRowHeight="15" x14ac:dyDescent="0.25"/>
  <cols>
    <col min="1" max="1" width="11.42578125" customWidth="1"/>
    <col min="2" max="2" width="76.5703125" customWidth="1"/>
    <col min="3" max="3" width="7.7109375" customWidth="1"/>
    <col min="4" max="4" width="8.85546875" customWidth="1"/>
    <col min="5" max="5" width="9.7109375" customWidth="1"/>
    <col min="6" max="6" width="10.42578125" customWidth="1"/>
    <col min="7" max="7" width="1.7109375" customWidth="1"/>
    <col min="11" max="11" width="13" bestFit="1" customWidth="1"/>
  </cols>
  <sheetData>
    <row r="2" spans="1:11" ht="18" customHeight="1" x14ac:dyDescent="0.25"/>
    <row r="4" spans="1:11" ht="18" x14ac:dyDescent="0.25">
      <c r="A4" s="1" t="s">
        <v>25</v>
      </c>
      <c r="B4" s="64" t="s">
        <v>99</v>
      </c>
      <c r="C4" s="3"/>
      <c r="D4" s="3"/>
      <c r="E4" s="2"/>
      <c r="F4" s="2"/>
    </row>
    <row r="5" spans="1:11" ht="18" x14ac:dyDescent="0.25">
      <c r="A5" s="64"/>
      <c r="B5" s="64" t="s">
        <v>92</v>
      </c>
      <c r="C5" s="3"/>
      <c r="D5" s="3"/>
      <c r="E5" s="2"/>
      <c r="F5" s="2"/>
    </row>
    <row r="6" spans="1:11" ht="18" x14ac:dyDescent="0.25">
      <c r="A6" s="1" t="s">
        <v>63</v>
      </c>
      <c r="B6" s="64" t="s">
        <v>93</v>
      </c>
      <c r="C6" s="3"/>
      <c r="D6" s="3"/>
      <c r="E6" s="2"/>
      <c r="F6" s="2"/>
    </row>
    <row r="7" spans="1:11" ht="18" x14ac:dyDescent="0.25">
      <c r="A7" s="2"/>
      <c r="B7" s="64" t="s">
        <v>64</v>
      </c>
      <c r="C7" s="3"/>
      <c r="D7" s="3"/>
      <c r="E7" s="2"/>
      <c r="F7" s="2"/>
    </row>
    <row r="8" spans="1:11" ht="20.25" x14ac:dyDescent="0.25">
      <c r="A8" s="462" t="s">
        <v>0</v>
      </c>
      <c r="B8" s="462"/>
      <c r="C8" s="462"/>
      <c r="D8" s="462"/>
      <c r="E8" s="462"/>
      <c r="F8" s="462"/>
    </row>
    <row r="9" spans="1:11" ht="20.25" x14ac:dyDescent="0.25">
      <c r="A9" s="83"/>
      <c r="B9" s="83"/>
      <c r="C9" s="83"/>
      <c r="D9" s="83"/>
      <c r="E9" s="83"/>
      <c r="F9" s="83"/>
    </row>
    <row r="10" spans="1:11" x14ac:dyDescent="0.25">
      <c r="A10" s="2"/>
      <c r="B10" s="2"/>
      <c r="C10" s="3"/>
      <c r="D10" s="3"/>
      <c r="E10" s="2"/>
      <c r="F10" s="2"/>
    </row>
    <row r="11" spans="1:11" ht="25.5" x14ac:dyDescent="0.25">
      <c r="A11" s="4" t="s">
        <v>1</v>
      </c>
      <c r="B11" s="4" t="s">
        <v>88</v>
      </c>
      <c r="C11" s="6" t="s">
        <v>3</v>
      </c>
      <c r="D11" s="4" t="s">
        <v>5</v>
      </c>
      <c r="E11" s="4" t="s">
        <v>4</v>
      </c>
      <c r="F11" s="4" t="s">
        <v>6</v>
      </c>
    </row>
    <row r="12" spans="1:11" x14ac:dyDescent="0.25">
      <c r="A12" s="463"/>
      <c r="B12" s="464"/>
      <c r="C12" s="464"/>
      <c r="D12" s="464"/>
      <c r="E12" s="464"/>
      <c r="F12" s="465"/>
    </row>
    <row r="13" spans="1:11" s="82" customFormat="1" x14ac:dyDescent="0.25">
      <c r="A13" s="78">
        <v>1</v>
      </c>
      <c r="B13" s="79" t="s">
        <v>90</v>
      </c>
      <c r="C13" s="57" t="s">
        <v>89</v>
      </c>
      <c r="D13" s="80">
        <v>48</v>
      </c>
      <c r="E13" s="81">
        <v>0</v>
      </c>
      <c r="F13" s="81">
        <f t="shared" ref="F13:F15" si="0">+D13*E13</f>
        <v>0</v>
      </c>
    </row>
    <row r="14" spans="1:11" x14ac:dyDescent="0.25">
      <c r="A14" s="78">
        <v>2</v>
      </c>
      <c r="B14" s="79" t="s">
        <v>91</v>
      </c>
      <c r="C14" s="57" t="s">
        <v>89</v>
      </c>
      <c r="D14" s="80">
        <v>48</v>
      </c>
      <c r="E14" s="81">
        <v>0</v>
      </c>
      <c r="F14" s="81">
        <f t="shared" si="0"/>
        <v>0</v>
      </c>
      <c r="J14">
        <f>+D13*3/22</f>
        <v>6.5454545454545459</v>
      </c>
    </row>
    <row r="15" spans="1:11" x14ac:dyDescent="0.25">
      <c r="A15" s="78">
        <v>3</v>
      </c>
      <c r="B15" s="79" t="s">
        <v>96</v>
      </c>
      <c r="C15" s="57" t="s">
        <v>89</v>
      </c>
      <c r="D15" s="80">
        <v>48</v>
      </c>
      <c r="E15" s="81">
        <v>0</v>
      </c>
      <c r="F15" s="81">
        <f t="shared" si="0"/>
        <v>0</v>
      </c>
    </row>
    <row r="16" spans="1:11" x14ac:dyDescent="0.25">
      <c r="A16" s="35"/>
      <c r="B16" s="36" t="s">
        <v>22</v>
      </c>
      <c r="C16" s="37"/>
      <c r="D16" s="38"/>
      <c r="E16" s="38"/>
      <c r="F16" s="39">
        <f>SUM(F13:F15)</f>
        <v>0</v>
      </c>
      <c r="K16" s="39"/>
    </row>
    <row r="17" spans="1:6" x14ac:dyDescent="0.25">
      <c r="A17" s="35"/>
      <c r="B17" s="36" t="s">
        <v>23</v>
      </c>
      <c r="C17" s="37"/>
      <c r="D17" s="38"/>
      <c r="E17" s="38"/>
      <c r="F17" s="39">
        <f>0.21*F16</f>
        <v>0</v>
      </c>
    </row>
    <row r="18" spans="1:6" x14ac:dyDescent="0.25">
      <c r="A18" s="35"/>
      <c r="B18" s="36" t="s">
        <v>24</v>
      </c>
      <c r="C18" s="37"/>
      <c r="D18" s="38"/>
      <c r="E18" s="38"/>
      <c r="F18" s="39">
        <f>+F16+F17</f>
        <v>0</v>
      </c>
    </row>
    <row r="19" spans="1:6" ht="8.25" customHeight="1" x14ac:dyDescent="0.25"/>
    <row r="21" spans="1:6" x14ac:dyDescent="0.25">
      <c r="B21" t="s">
        <v>81</v>
      </c>
    </row>
    <row r="30" spans="1:6" x14ac:dyDescent="0.25">
      <c r="D30" s="77" t="s">
        <v>80</v>
      </c>
    </row>
  </sheetData>
  <mergeCells count="2">
    <mergeCell ref="A8:F8"/>
    <mergeCell ref="A12:F12"/>
  </mergeCells>
  <printOptions horizontalCentered="1"/>
  <pageMargins left="0.9055118110236221" right="0.51181102362204722" top="0.94488188976377963" bottom="0.74803149606299213" header="0.31496062992125984" footer="0.31496062992125984"/>
  <pageSetup paperSize="9" scale="69" fitToHeight="2" orientation="portrait" r:id="rId1"/>
  <drawing r:id="rId2"/>
  <legacyDrawing r:id="rId3"/>
  <oleObjects>
    <mc:AlternateContent xmlns:mc="http://schemas.openxmlformats.org/markup-compatibility/2006">
      <mc:Choice Requires="x14">
        <oleObject progId="PBrush" shapeId="105473" r:id="rId4">
          <objectPr defaultSize="0" autoPict="0" r:id="rId5">
            <anchor moveWithCells="1" sizeWithCells="1">
              <from>
                <xdr:col>3</xdr:col>
                <xdr:colOff>409575</xdr:colOff>
                <xdr:row>0</xdr:row>
                <xdr:rowOff>104775</xdr:rowOff>
              </from>
              <to>
                <xdr:col>5</xdr:col>
                <xdr:colOff>561975</xdr:colOff>
                <xdr:row>1</xdr:row>
                <xdr:rowOff>200025</xdr:rowOff>
              </to>
            </anchor>
          </objectPr>
        </oleObject>
      </mc:Choice>
      <mc:Fallback>
        <oleObject progId="PBrush" shapeId="105473" r:id="rId4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  <pageSetUpPr fitToPage="1"/>
  </sheetPr>
  <dimension ref="A2:K29"/>
  <sheetViews>
    <sheetView showGridLines="0" zoomScale="115" zoomScaleNormal="115" zoomScaleSheetLayoutView="115" workbookViewId="0">
      <selection activeCell="I18" sqref="I18"/>
    </sheetView>
  </sheetViews>
  <sheetFormatPr baseColWidth="10" defaultRowHeight="15" x14ac:dyDescent="0.25"/>
  <cols>
    <col min="1" max="1" width="11.42578125" customWidth="1"/>
    <col min="2" max="2" width="76.5703125" customWidth="1"/>
    <col min="3" max="3" width="7.7109375" customWidth="1"/>
    <col min="4" max="4" width="8.85546875" customWidth="1"/>
    <col min="5" max="5" width="9.7109375" customWidth="1"/>
    <col min="6" max="6" width="10.42578125" customWidth="1"/>
    <col min="7" max="7" width="1.7109375" customWidth="1"/>
    <col min="11" max="11" width="13" bestFit="1" customWidth="1"/>
  </cols>
  <sheetData>
    <row r="2" spans="1:11" ht="18" customHeight="1" x14ac:dyDescent="0.25"/>
    <row r="4" spans="1:11" ht="18" x14ac:dyDescent="0.25">
      <c r="A4" s="1" t="s">
        <v>25</v>
      </c>
      <c r="B4" s="64" t="s">
        <v>99</v>
      </c>
      <c r="C4" s="3"/>
      <c r="D4" s="3"/>
      <c r="E4" s="2"/>
      <c r="F4" s="2"/>
    </row>
    <row r="5" spans="1:11" ht="18" x14ac:dyDescent="0.25">
      <c r="A5" s="64"/>
      <c r="B5" s="64" t="s">
        <v>94</v>
      </c>
      <c r="C5" s="3"/>
      <c r="D5" s="3"/>
      <c r="E5" s="2"/>
      <c r="F5" s="2"/>
    </row>
    <row r="6" spans="1:11" ht="18" x14ac:dyDescent="0.25">
      <c r="A6" s="1" t="s">
        <v>63</v>
      </c>
      <c r="B6" s="64" t="s">
        <v>95</v>
      </c>
      <c r="C6" s="3"/>
      <c r="D6" s="3"/>
      <c r="E6" s="2"/>
      <c r="F6" s="2"/>
    </row>
    <row r="7" spans="1:11" ht="18" x14ac:dyDescent="0.25">
      <c r="A7" s="2"/>
      <c r="B7" s="64" t="s">
        <v>64</v>
      </c>
      <c r="C7" s="3"/>
      <c r="D7" s="3"/>
      <c r="E7" s="2"/>
      <c r="F7" s="2"/>
    </row>
    <row r="8" spans="1:11" ht="20.25" x14ac:dyDescent="0.25">
      <c r="A8" s="462" t="s">
        <v>0</v>
      </c>
      <c r="B8" s="462"/>
      <c r="C8" s="462"/>
      <c r="D8" s="462"/>
      <c r="E8" s="462"/>
      <c r="F8" s="462"/>
    </row>
    <row r="9" spans="1:11" ht="20.25" x14ac:dyDescent="0.25">
      <c r="A9" s="83"/>
      <c r="B9" s="83"/>
      <c r="C9" s="83"/>
      <c r="D9" s="83"/>
      <c r="E9" s="83"/>
      <c r="F9" s="83"/>
    </row>
    <row r="10" spans="1:11" x14ac:dyDescent="0.25">
      <c r="A10" s="2"/>
      <c r="B10" s="2"/>
      <c r="C10" s="3"/>
      <c r="D10" s="3"/>
      <c r="E10" s="2"/>
      <c r="F10" s="2"/>
    </row>
    <row r="11" spans="1:11" ht="25.5" x14ac:dyDescent="0.25">
      <c r="A11" s="4" t="s">
        <v>1</v>
      </c>
      <c r="B11" s="4" t="s">
        <v>88</v>
      </c>
      <c r="C11" s="6" t="s">
        <v>3</v>
      </c>
      <c r="D11" s="4" t="s">
        <v>5</v>
      </c>
      <c r="E11" s="4" t="s">
        <v>4</v>
      </c>
      <c r="F11" s="4" t="s">
        <v>6</v>
      </c>
    </row>
    <row r="12" spans="1:11" x14ac:dyDescent="0.25">
      <c r="A12" s="463"/>
      <c r="B12" s="464"/>
      <c r="C12" s="464"/>
      <c r="D12" s="464"/>
      <c r="E12" s="464"/>
      <c r="F12" s="465"/>
    </row>
    <row r="13" spans="1:11" s="82" customFormat="1" x14ac:dyDescent="0.25">
      <c r="A13" s="78">
        <v>1</v>
      </c>
      <c r="B13" s="79" t="s">
        <v>90</v>
      </c>
      <c r="C13" s="57" t="s">
        <v>89</v>
      </c>
      <c r="D13" s="80">
        <v>15</v>
      </c>
      <c r="E13" s="81">
        <v>0</v>
      </c>
      <c r="F13" s="81">
        <f t="shared" ref="F13:F15" si="0">+D13*E13</f>
        <v>0</v>
      </c>
    </row>
    <row r="14" spans="1:11" x14ac:dyDescent="0.25">
      <c r="A14" s="78">
        <v>2</v>
      </c>
      <c r="B14" s="79" t="s">
        <v>91</v>
      </c>
      <c r="C14" s="57" t="s">
        <v>89</v>
      </c>
      <c r="D14" s="80">
        <v>15</v>
      </c>
      <c r="E14" s="81">
        <v>0</v>
      </c>
      <c r="F14" s="81">
        <f t="shared" si="0"/>
        <v>0</v>
      </c>
    </row>
    <row r="15" spans="1:11" x14ac:dyDescent="0.25">
      <c r="A15" s="78">
        <v>3</v>
      </c>
      <c r="B15" s="79" t="s">
        <v>96</v>
      </c>
      <c r="C15" s="57" t="s">
        <v>89</v>
      </c>
      <c r="D15" s="80">
        <v>15</v>
      </c>
      <c r="E15" s="81">
        <v>0</v>
      </c>
      <c r="F15" s="81">
        <f t="shared" si="0"/>
        <v>0</v>
      </c>
    </row>
    <row r="16" spans="1:11" x14ac:dyDescent="0.25">
      <c r="A16" s="35"/>
      <c r="B16" s="36" t="s">
        <v>22</v>
      </c>
      <c r="C16" s="37"/>
      <c r="D16" s="38"/>
      <c r="E16" s="38"/>
      <c r="F16" s="39">
        <f>SUM(F13:F15)</f>
        <v>0</v>
      </c>
      <c r="I16">
        <f>+D13*4/22</f>
        <v>2.7272727272727271</v>
      </c>
      <c r="K16" s="39"/>
    </row>
    <row r="17" spans="1:6" x14ac:dyDescent="0.25">
      <c r="A17" s="35"/>
      <c r="B17" s="36" t="s">
        <v>23</v>
      </c>
      <c r="C17" s="37"/>
      <c r="D17" s="38"/>
      <c r="E17" s="38"/>
      <c r="F17" s="39">
        <f>0.21*F16</f>
        <v>0</v>
      </c>
    </row>
    <row r="18" spans="1:6" x14ac:dyDescent="0.25">
      <c r="A18" s="35"/>
      <c r="B18" s="36" t="s">
        <v>24</v>
      </c>
      <c r="C18" s="37"/>
      <c r="D18" s="38"/>
      <c r="E18" s="38"/>
      <c r="F18" s="39">
        <f>+F16+F17</f>
        <v>0</v>
      </c>
    </row>
    <row r="19" spans="1:6" ht="8.25" customHeight="1" x14ac:dyDescent="0.25"/>
    <row r="20" spans="1:6" x14ac:dyDescent="0.25">
      <c r="B20" t="s">
        <v>81</v>
      </c>
    </row>
    <row r="29" spans="1:6" x14ac:dyDescent="0.25">
      <c r="D29" s="77" t="s">
        <v>80</v>
      </c>
    </row>
  </sheetData>
  <mergeCells count="2">
    <mergeCell ref="A8:F8"/>
    <mergeCell ref="A12:F12"/>
  </mergeCells>
  <printOptions horizontalCentered="1"/>
  <pageMargins left="0.9055118110236221" right="0.51181102362204722" top="0.94488188976377963" bottom="0.74803149606299213" header="0.31496062992125984" footer="0.31496062992125984"/>
  <pageSetup paperSize="9" scale="69" fitToHeight="2" orientation="portrait" r:id="rId1"/>
  <drawing r:id="rId2"/>
  <legacyDrawing r:id="rId3"/>
  <oleObjects>
    <mc:AlternateContent xmlns:mc="http://schemas.openxmlformats.org/markup-compatibility/2006">
      <mc:Choice Requires="x14">
        <oleObject progId="PBrush" shapeId="107521" r:id="rId4">
          <objectPr defaultSize="0" autoPict="0" r:id="rId5">
            <anchor moveWithCells="1" sizeWithCells="1">
              <from>
                <xdr:col>3</xdr:col>
                <xdr:colOff>409575</xdr:colOff>
                <xdr:row>0</xdr:row>
                <xdr:rowOff>104775</xdr:rowOff>
              </from>
              <to>
                <xdr:col>5</xdr:col>
                <xdr:colOff>561975</xdr:colOff>
                <xdr:row>1</xdr:row>
                <xdr:rowOff>200025</xdr:rowOff>
              </to>
            </anchor>
          </objectPr>
        </oleObject>
      </mc:Choice>
      <mc:Fallback>
        <oleObject progId="PBrush" shapeId="107521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14</vt:i4>
      </vt:variant>
    </vt:vector>
  </HeadingPairs>
  <TitlesOfParts>
    <vt:vector size="31" baseType="lpstr">
      <vt:lpstr>RENGLON 1</vt:lpstr>
      <vt:lpstr>REGLON 2</vt:lpstr>
      <vt:lpstr>REGLON 3</vt:lpstr>
      <vt:lpstr>Planilla</vt:lpstr>
      <vt:lpstr>Listado Materiales</vt:lpstr>
      <vt:lpstr>Equipos</vt:lpstr>
      <vt:lpstr>MO UOCRA</vt:lpstr>
      <vt:lpstr>ex GRUPO 2</vt:lpstr>
      <vt:lpstr>ex GRUPO 4</vt:lpstr>
      <vt:lpstr>ex GRUPO 6</vt:lpstr>
      <vt:lpstr>COSTEO</vt:lpstr>
      <vt:lpstr>Resumen</vt:lpstr>
      <vt:lpstr>Hoja1</vt:lpstr>
      <vt:lpstr>Nivel general y capítulos</vt:lpstr>
      <vt:lpstr>Costos INTI</vt:lpstr>
      <vt:lpstr>UNIV</vt:lpstr>
      <vt:lpstr>UNIV (2)</vt:lpstr>
      <vt:lpstr>'ex GRUPO 2'!Área_de_impresión</vt:lpstr>
      <vt:lpstr>'ex GRUPO 4'!Área_de_impresión</vt:lpstr>
      <vt:lpstr>'ex GRUPO 6'!Área_de_impresión</vt:lpstr>
      <vt:lpstr>'MO UOCRA'!Área_de_impresión</vt:lpstr>
      <vt:lpstr>Planilla!Área_de_impresión</vt:lpstr>
      <vt:lpstr>'RENGLON 1'!Área_de_impresión</vt:lpstr>
      <vt:lpstr>UNIV!Área_de_impresión</vt:lpstr>
      <vt:lpstr>'UNIV (2)'!Área_de_impresión</vt:lpstr>
      <vt:lpstr>'ex GRUPO 2'!Títulos_a_imprimir</vt:lpstr>
      <vt:lpstr>'ex GRUPO 4'!Títulos_a_imprimir</vt:lpstr>
      <vt:lpstr>'ex GRUPO 6'!Títulos_a_imprimir</vt:lpstr>
      <vt:lpstr>'RENGLON 1'!Títulos_a_imprimir</vt:lpstr>
      <vt:lpstr>UNIV!Títulos_a_imprimir</vt:lpstr>
      <vt:lpstr>'UNIV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javier.krause</dc:creator>
  <cp:lastModifiedBy>ANDRES</cp:lastModifiedBy>
  <cp:lastPrinted>2020-09-07T13:56:46Z</cp:lastPrinted>
  <dcterms:created xsi:type="dcterms:W3CDTF">2014-03-17T17:16:48Z</dcterms:created>
  <dcterms:modified xsi:type="dcterms:W3CDTF">2020-09-07T13:57:51Z</dcterms:modified>
</cp:coreProperties>
</file>